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https://fwgbedrijf.sharepoint.com/sites/CompanyData/Consultancy/Projecten D&amp;O/Stichting O&amp;O fonds GGZ/Balansbudget en generatiebeleid/Uitvoering/Generatiepact/tool medewerkers/"/>
    </mc:Choice>
  </mc:AlternateContent>
  <xr:revisionPtr revIDLastSave="115" documentId="8_{2B68F511-81D3-4419-B5A8-BC68F91125CD}" xr6:coauthVersionLast="47" xr6:coauthVersionMax="47" xr10:uidLastSave="{E9EC3DF5-2344-4348-9361-1F905AC20C18}"/>
  <bookViews>
    <workbookView xWindow="-98" yWindow="-98" windowWidth="21795" windowHeight="13875" tabRatio="917" xr2:uid="{3B91B1A2-227B-4AC4-A936-A31D70BF4881}"/>
  </bookViews>
  <sheets>
    <sheet name="Home" sheetId="27" r:id="rId1"/>
    <sheet name="Menu" sheetId="28" r:id="rId2"/>
    <sheet name="De regeling" sheetId="5" r:id="rId3"/>
    <sheet name="Gevolgen van deelname" sheetId="10" r:id="rId4"/>
    <sheet name="Kan ik deelnemen " sheetId="2" r:id="rId5"/>
    <sheet name="Mijn gegevens" sheetId="11" r:id="rId6"/>
    <sheet name="Inzicht" sheetId="12" r:id="rId7"/>
    <sheet name="Mijn tijdslijn" sheetId="14" r:id="rId8"/>
    <sheet name="Nuttige links" sheetId="23" r:id="rId9"/>
    <sheet name="Klad" sheetId="30" state="hidden" r:id="rId10"/>
    <sheet name="Bruto-netto" sheetId="13" state="hidden" r:id="rId11"/>
    <sheet name="Rekenblad" sheetId="16" state="hidden" r:id="rId12"/>
    <sheet name="Basistabellen" sheetId="3" state="hidden" r:id="rId13"/>
    <sheet name="Grafiekgegevens" sheetId="15"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Print_Area" localSheetId="6">Inzicht!$A$28:$K$52</definedName>
    <definedName name="AOW_tabel">Basistabellen!$B$30:$E$39</definedName>
    <definedName name="Bruto_PT_maandsalaris" localSheetId="0">'[1]Mijn gegevens'!$E$24</definedName>
    <definedName name="Bruto_PT_maandsalaris" localSheetId="8">'[1]Mijn gegevens'!$E$24</definedName>
    <definedName name="Bruto_PT_maandsalaris">'Mijn gegevens'!#REF!</definedName>
    <definedName name="Dagen_LFB_opname">Rekenblad!#REF!</definedName>
    <definedName name="Dagen_PLB_opname" localSheetId="0">[2]Rekenblad!$C$23</definedName>
    <definedName name="Dagen_PLB_opname" localSheetId="1">[2]Rekenblad!$C$23</definedName>
    <definedName name="Dagen_PLB_opname" localSheetId="8">[3]Rekenblad!$C$21</definedName>
    <definedName name="Datum_einde_regeling">'[4]3.Varianten'!#REF!</definedName>
    <definedName name="Duur_dvb">[5]Basiswaarden!#REF!</definedName>
    <definedName name="Einddatum_regeling">[6]Basiswaarden!$C$8</definedName>
    <definedName name="EJU">[6]Basiswaarden!$C$19</definedName>
    <definedName name="Fulltime_norm" localSheetId="0">[1]Basiswaarden!$B$27</definedName>
    <definedName name="Fulltime_norm" localSheetId="8">[1]Basiswaarden!$B$27</definedName>
    <definedName name="Fulltime_norm">[6]Basiswaarden!$C$13</definedName>
    <definedName name="Geb_dat">'Kan ik deelnemen '!$C$38</definedName>
    <definedName name="Index_WG_premies">[6]Basiswaarden!$D$44</definedName>
    <definedName name="Invoer_selectie_varianten">'[7]3'!$E$25</definedName>
    <definedName name="Invoer_VV">'Mijn gegevens'!$G$20</definedName>
    <definedName name="Max_salaris_pensioenopbouw">[6]Basiswaarden!$C$25</definedName>
    <definedName name="Max_uit_pm">[6]Basiswaarden!$C$11</definedName>
    <definedName name="Pensioenfranchise">[6]Basiswaarden!$C$23</definedName>
    <definedName name="Pensioenpremie_WG">[6]Basiswaarden!$C$29</definedName>
    <definedName name="Percentage_betaald_vrijgesteld">'[7]3'!$C$22</definedName>
    <definedName name="Percentage_deelname">[5]Basiswaarden!#REF!</definedName>
    <definedName name="Percentage_werk">'[7]3'!$C$20</definedName>
    <definedName name="Periode_voor_AOW">[5]Basiswaarden!#REF!</definedName>
    <definedName name="Premieprecentage_pensioen">[6]Basiswaarden!$C$21</definedName>
    <definedName name="Saldo_lfb">'Mijn gegevens'!$D$47</definedName>
    <definedName name="Saldo_PLB" localSheetId="0">'[2]6. Mijn gegevens'!$C$39</definedName>
    <definedName name="Saldo_PLB" localSheetId="1">'[2]6. Mijn gegevens'!$C$39</definedName>
    <definedName name="Saldo_PLB" localSheetId="8">'[3]6. Mijn gegevens'!$C$39</definedName>
    <definedName name="Startdatum" localSheetId="0">[2]Rekenblad!$C$9</definedName>
    <definedName name="Startdatum" localSheetId="1">[2]Rekenblad!$C$9</definedName>
    <definedName name="Startdatum" localSheetId="8">[3]Rekenblad!$C$9</definedName>
    <definedName name="Startdatum">Rekenblad!$E$11</definedName>
    <definedName name="Startjaar">[6]Basiswaarden!$C$4</definedName>
    <definedName name="Subsidie">[6]Basiswaarden!$C$13</definedName>
    <definedName name="Uren_per_jaar">[6]Basiswaarden!$F$19</definedName>
    <definedName name="Uren_per_maand" localSheetId="0">[1]Basiswaarden!$B$28</definedName>
    <definedName name="Uren_per_maand" localSheetId="1">[8]Basiswaarden!$B$14</definedName>
    <definedName name="Uren_per_maand" localSheetId="8">[5]Basiswaarden!$F$21</definedName>
    <definedName name="Uren_per_maand">[6]Basiswaarden!$F$21</definedName>
    <definedName name="Uren_per_week" localSheetId="0">'[1]Mijn gegevens'!$E$18</definedName>
    <definedName name="Uren_per_week" localSheetId="8">'[1]Mijn gegevens'!$E$18</definedName>
    <definedName name="Uren_per_week">'Mijn gegevens'!#REF!</definedName>
    <definedName name="Voorwaarde_1">'[9]4'!$D$25</definedName>
    <definedName name="Voorwaarde_2">'[9]4'!$D$28</definedName>
    <definedName name="Voorwaarde_3">'[9]4'!$D$10</definedName>
    <definedName name="Voorwaarde_4">'[9]4'!$D$21</definedName>
    <definedName name="Voorwaarde_5">'[9]4'!$D$15</definedName>
    <definedName name="Voorwaarde_6">'[9]4'!$H$15</definedName>
    <definedName name="Voorwaarde_7">'[9]4'!$D$31</definedName>
    <definedName name="VT">[6]Basiswaarden!$C$17</definedName>
    <definedName name="Zwaar_beroep">'[10]Kan ik deelnemen'!$D$8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16" l="1"/>
  <c r="D10" i="16" s="1"/>
  <c r="C35" i="12"/>
  <c r="C9" i="16"/>
  <c r="C57" i="11"/>
  <c r="C50" i="11" l="1"/>
  <c r="B34" i="2"/>
  <c r="D55" i="16"/>
  <c r="B27" i="2"/>
  <c r="C6" i="16"/>
  <c r="C8" i="16" s="1"/>
  <c r="E11" i="16" s="1"/>
  <c r="C51" i="11"/>
  <c r="D52" i="16"/>
  <c r="C23" i="16"/>
  <c r="C24" i="16" s="1"/>
  <c r="B113" i="3"/>
  <c r="B114" i="3" s="1"/>
  <c r="C26" i="16"/>
  <c r="C11" i="16" l="1"/>
  <c r="D6" i="16"/>
  <c r="B115" i="3"/>
  <c r="B116" i="3" s="1"/>
  <c r="E9" i="16"/>
  <c r="E43" i="3" l="1"/>
  <c r="M30" i="13"/>
  <c r="M31" i="13"/>
  <c r="M32" i="13"/>
  <c r="M33" i="13"/>
  <c r="M34" i="13"/>
  <c r="M29" i="13"/>
  <c r="O69" i="13"/>
  <c r="N68" i="13"/>
  <c r="M69" i="13"/>
  <c r="M68" i="13"/>
  <c r="C88" i="3"/>
  <c r="M70" i="13" s="1"/>
  <c r="C87" i="3"/>
  <c r="C74" i="3"/>
  <c r="C73" i="3"/>
  <c r="M19" i="13"/>
  <c r="N19" i="13"/>
  <c r="N18" i="13"/>
  <c r="M18" i="13"/>
  <c r="C27" i="16" l="1"/>
  <c r="C7" i="13" l="1"/>
  <c r="C46" i="12" s="1"/>
  <c r="C12" i="13"/>
  <c r="C48" i="12" l="1"/>
  <c r="E7" i="13"/>
  <c r="D46" i="12" s="1"/>
  <c r="E18" i="13"/>
  <c r="C18" i="13"/>
  <c r="C30" i="13" s="1"/>
  <c r="D18" i="13"/>
  <c r="D31" i="16" l="1"/>
  <c r="D48" i="12"/>
  <c r="H18" i="13"/>
  <c r="D43" i="12" s="1"/>
  <c r="D7" i="13"/>
  <c r="I18" i="13" s="1"/>
  <c r="D83" i="13"/>
  <c r="D69" i="13"/>
  <c r="D68" i="13"/>
  <c r="C72" i="3"/>
  <c r="D59" i="16"/>
  <c r="D58" i="16"/>
  <c r="D54" i="16"/>
  <c r="D53" i="16"/>
  <c r="D56" i="16" l="1"/>
  <c r="G36" i="11" s="1"/>
  <c r="H66" i="13"/>
  <c r="L83" i="13"/>
  <c r="D66" i="13"/>
  <c r="H83" i="13" s="1"/>
  <c r="D72" i="13"/>
  <c r="D89" i="13" s="1"/>
  <c r="D60" i="16"/>
  <c r="D62" i="16" l="1"/>
  <c r="C29" i="12" s="1"/>
  <c r="C7" i="16"/>
  <c r="B6" i="15"/>
  <c r="C31" i="12" l="1"/>
  <c r="C32" i="12"/>
  <c r="C46" i="16"/>
  <c r="B41" i="2" s="1"/>
  <c r="B49" i="2"/>
  <c r="D11" i="16"/>
  <c r="D42" i="16" s="1"/>
  <c r="E8" i="16"/>
  <c r="E7" i="16"/>
  <c r="D8" i="16"/>
  <c r="F46" i="12" l="1"/>
  <c r="F48" i="12"/>
  <c r="E46" i="12"/>
  <c r="E48" i="12"/>
  <c r="E41" i="12"/>
  <c r="E43" i="12"/>
  <c r="C12" i="16"/>
  <c r="D29" i="16" s="1"/>
  <c r="C16" i="16"/>
  <c r="C40" i="16"/>
  <c r="C44" i="16"/>
  <c r="C42" i="16"/>
  <c r="B5" i="15" l="1"/>
  <c r="D44" i="16"/>
  <c r="B47" i="2" s="1"/>
  <c r="D30" i="16"/>
  <c r="M35" i="13"/>
  <c r="B4" i="15"/>
  <c r="B35" i="16" l="1"/>
  <c r="C63" i="11" s="1"/>
  <c r="D30" i="13"/>
  <c r="N35" i="13"/>
  <c r="C41" i="12"/>
  <c r="F41" i="12" s="1"/>
  <c r="G18" i="13"/>
  <c r="B12" i="15"/>
  <c r="D12" i="15"/>
  <c r="H30" i="13" l="1"/>
  <c r="D37" i="13"/>
  <c r="D41" i="12"/>
  <c r="E69" i="13"/>
  <c r="E30" i="13"/>
  <c r="G66" i="13"/>
  <c r="C66" i="13"/>
  <c r="G83" i="13" s="1"/>
  <c r="I66" i="13"/>
  <c r="E66" i="13"/>
  <c r="I83" i="13" s="1"/>
  <c r="E74" i="3"/>
  <c r="E75" i="3"/>
  <c r="E71" i="3"/>
  <c r="E72" i="3"/>
  <c r="E73" i="3"/>
  <c r="E68" i="13"/>
  <c r="C43" i="12"/>
  <c r="F43" i="12" s="1"/>
  <c r="K83" i="13"/>
  <c r="C83" i="13"/>
  <c r="E83" i="13"/>
  <c r="D56" i="13" l="1"/>
  <c r="D47" i="13"/>
  <c r="D41" i="13"/>
  <c r="H37" i="13"/>
  <c r="E37" i="13"/>
  <c r="I30" i="13"/>
  <c r="C37" i="13"/>
  <c r="G30" i="13"/>
  <c r="C31" i="13"/>
  <c r="M83" i="13"/>
  <c r="E72" i="13"/>
  <c r="H41" i="13" l="1"/>
  <c r="H58" i="13" s="1"/>
  <c r="D58" i="13"/>
  <c r="H85" i="13" s="1"/>
  <c r="D49" i="13"/>
  <c r="G31" i="13"/>
  <c r="D31" i="13"/>
  <c r="E31" i="13"/>
  <c r="I31" i="13" s="1"/>
  <c r="E47" i="13"/>
  <c r="E56" i="13"/>
  <c r="H47" i="13"/>
  <c r="H56" i="13"/>
  <c r="C47" i="13"/>
  <c r="E41" i="13"/>
  <c r="I41" i="13" s="1"/>
  <c r="I58" i="13" s="1"/>
  <c r="G37" i="13"/>
  <c r="C56" i="13"/>
  <c r="I37" i="13"/>
  <c r="I47" i="13" s="1"/>
  <c r="C32" i="13"/>
  <c r="E89" i="13"/>
  <c r="D85" i="13" l="1"/>
  <c r="E32" i="13"/>
  <c r="E53" i="13" s="1"/>
  <c r="D32" i="13"/>
  <c r="H31" i="13"/>
  <c r="L85" i="13"/>
  <c r="C38" i="13"/>
  <c r="C59" i="13" s="1"/>
  <c r="E35" i="13"/>
  <c r="C85" i="13"/>
  <c r="G85" i="13"/>
  <c r="E58" i="13"/>
  <c r="E85" i="13" s="1"/>
  <c r="E49" i="13"/>
  <c r="I56" i="13"/>
  <c r="M85" i="13" s="1"/>
  <c r="G56" i="13"/>
  <c r="K85" i="13" s="1"/>
  <c r="G32" i="13"/>
  <c r="C44" i="13"/>
  <c r="C53" i="13"/>
  <c r="C84" i="13" s="1"/>
  <c r="C86" i="13" s="1"/>
  <c r="C69" i="13" s="1"/>
  <c r="G47" i="13"/>
  <c r="E38" i="13" l="1"/>
  <c r="I85" i="13"/>
  <c r="I35" i="13"/>
  <c r="E55" i="13"/>
  <c r="D53" i="13"/>
  <c r="D44" i="13"/>
  <c r="D50" i="13" s="1"/>
  <c r="H32" i="13"/>
  <c r="D38" i="13"/>
  <c r="D35" i="13"/>
  <c r="C95" i="13"/>
  <c r="C19" i="13"/>
  <c r="C21" i="13" s="1"/>
  <c r="G21" i="13" s="1"/>
  <c r="C88" i="13"/>
  <c r="C50" i="13"/>
  <c r="E46" i="13"/>
  <c r="G44" i="13"/>
  <c r="G50" i="13" s="1"/>
  <c r="G38" i="13"/>
  <c r="G53" i="13"/>
  <c r="I32" i="13"/>
  <c r="I38" i="13" s="1"/>
  <c r="E44" i="13"/>
  <c r="E29" i="3"/>
  <c r="D55" i="13" l="1"/>
  <c r="D59" i="13" s="1"/>
  <c r="D84" i="13" s="1"/>
  <c r="H35" i="13"/>
  <c r="H55" i="13" s="1"/>
  <c r="H44" i="13"/>
  <c r="H50" i="13" s="1"/>
  <c r="H53" i="13"/>
  <c r="H38" i="13"/>
  <c r="I55" i="13"/>
  <c r="I46" i="13"/>
  <c r="E59" i="13"/>
  <c r="E84" i="13" s="1"/>
  <c r="G59" i="13"/>
  <c r="K84" i="13"/>
  <c r="K86" i="13" s="1"/>
  <c r="E50" i="13"/>
  <c r="I44" i="13"/>
  <c r="I50" i="13" s="1"/>
  <c r="I53" i="13"/>
  <c r="I59" i="13" s="1"/>
  <c r="H84" i="13" l="1"/>
  <c r="H86" i="13" s="1"/>
  <c r="D86" i="13"/>
  <c r="L84" i="13"/>
  <c r="L86" i="13" s="1"/>
  <c r="H59" i="13"/>
  <c r="G68" i="13"/>
  <c r="K95" i="13"/>
  <c r="G84" i="13"/>
  <c r="G86" i="13" s="1"/>
  <c r="M84" i="13"/>
  <c r="M86" i="13" s="1"/>
  <c r="B16" i="15"/>
  <c r="B15" i="15"/>
  <c r="H68" i="13" l="1"/>
  <c r="L95" i="13"/>
  <c r="D95" i="13"/>
  <c r="D19" i="13"/>
  <c r="D21" i="13" s="1"/>
  <c r="H21" i="13" s="1"/>
  <c r="D88" i="13"/>
  <c r="H69" i="13"/>
  <c r="H95" i="13"/>
  <c r="H19" i="13"/>
  <c r="H88" i="13"/>
  <c r="L88" i="13" s="1"/>
  <c r="I68" i="13"/>
  <c r="M95" i="13"/>
  <c r="G95" i="13"/>
  <c r="G19" i="13"/>
  <c r="G88" i="13"/>
  <c r="K88" i="13" s="1"/>
  <c r="G69" i="13"/>
  <c r="G72" i="13" s="1"/>
  <c r="G89" i="13" s="1"/>
  <c r="K89" i="13" s="1"/>
  <c r="F73" i="3"/>
  <c r="F71" i="3"/>
  <c r="F74" i="3"/>
  <c r="F72" i="3"/>
  <c r="C68" i="13"/>
  <c r="C72" i="13" s="1"/>
  <c r="E86" i="13"/>
  <c r="I84" i="13"/>
  <c r="I86" i="13" s="1"/>
  <c r="D14" i="15"/>
  <c r="H72" i="13" l="1"/>
  <c r="I95" i="13"/>
  <c r="I88" i="13"/>
  <c r="M88" i="13" s="1"/>
  <c r="I19" i="13"/>
  <c r="E19" i="13"/>
  <c r="E21" i="13" s="1"/>
  <c r="I21" i="13" s="1"/>
  <c r="E88" i="13"/>
  <c r="E95" i="13"/>
  <c r="I69" i="13"/>
  <c r="I72" i="13" s="1"/>
  <c r="G72" i="3"/>
  <c r="G71" i="3"/>
  <c r="G74" i="3"/>
  <c r="G73" i="3"/>
  <c r="C89" i="13"/>
  <c r="F77" i="3"/>
  <c r="B13" i="15"/>
  <c r="C18" i="16"/>
  <c r="L89" i="13" l="1"/>
  <c r="H89" i="13"/>
  <c r="C74" i="13"/>
  <c r="G90" i="13" s="1"/>
  <c r="D74" i="13"/>
  <c r="M89" i="13"/>
  <c r="I89" i="13"/>
  <c r="G77" i="3"/>
  <c r="E74" i="13" s="1"/>
  <c r="E90" i="13" s="1"/>
  <c r="E91" i="13" s="1"/>
  <c r="E93" i="13" s="1"/>
  <c r="C17" i="16"/>
  <c r="E17" i="16" s="1"/>
  <c r="H74" i="13" l="1"/>
  <c r="L90" i="13" s="1"/>
  <c r="L96" i="13" s="1"/>
  <c r="L97" i="13" s="1"/>
  <c r="L98" i="13" s="1"/>
  <c r="H90" i="13"/>
  <c r="H96" i="13" s="1"/>
  <c r="H97" i="13" s="1"/>
  <c r="H98" i="13" s="1"/>
  <c r="D90" i="13"/>
  <c r="G91" i="13"/>
  <c r="G93" i="13" s="1"/>
  <c r="G96" i="13"/>
  <c r="G97" i="13" s="1"/>
  <c r="E96" i="13"/>
  <c r="E97" i="13" s="1"/>
  <c r="I90" i="13"/>
  <c r="I96" i="13" s="1"/>
  <c r="I97" i="13" s="1"/>
  <c r="I74" i="13"/>
  <c r="M90" i="13" s="1"/>
  <c r="M96" i="13" s="1"/>
  <c r="M97" i="13" s="1"/>
  <c r="G74" i="13"/>
  <c r="K90" i="13"/>
  <c r="C90" i="13"/>
  <c r="D18" i="16"/>
  <c r="E18" i="16" s="1"/>
  <c r="D17" i="16"/>
  <c r="B14" i="15"/>
  <c r="D13" i="15"/>
  <c r="L91" i="13" l="1"/>
  <c r="L93" i="13" s="1"/>
  <c r="H91" i="13"/>
  <c r="H93" i="13" s="1"/>
  <c r="D91" i="13"/>
  <c r="D93" i="13" s="1"/>
  <c r="D96" i="13"/>
  <c r="D97" i="13" s="1"/>
  <c r="D98" i="13" s="1"/>
  <c r="I98" i="13"/>
  <c r="C96" i="13"/>
  <c r="C97" i="13" s="1"/>
  <c r="E98" i="13" s="1"/>
  <c r="C91" i="13"/>
  <c r="C93" i="13" s="1"/>
  <c r="K96" i="13"/>
  <c r="K97" i="13" s="1"/>
  <c r="M98" i="13" s="1"/>
  <c r="K91" i="13"/>
  <c r="M91" i="13"/>
  <c r="M93" i="13" s="1"/>
  <c r="E44" i="12" s="1"/>
  <c r="K93" i="13"/>
  <c r="C44" i="12" s="1"/>
  <c r="I91" i="13"/>
  <c r="I93" i="13" s="1"/>
  <c r="E19" i="16"/>
  <c r="C33" i="12" s="1"/>
  <c r="C52" i="12" l="1"/>
  <c r="F44" i="12"/>
  <c r="D52" i="12"/>
  <c r="D44" i="12"/>
  <c r="E5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Onno Verbaas</author>
  </authors>
  <commentList>
    <comment ref="C69" authorId="0" shapeId="0" xr:uid="{1ECFA29A-438A-4F01-ABB3-3D2D8F0296AC}">
      <text>
        <r>
          <rPr>
            <b/>
            <sz val="9"/>
            <color indexed="81"/>
            <rFont val="Tahoma"/>
            <family val="2"/>
          </rPr>
          <t>Onno Verbaas:</t>
        </r>
        <r>
          <rPr>
            <sz val="9"/>
            <color indexed="81"/>
            <rFont val="Tahoma"/>
            <family val="2"/>
          </rPr>
          <t xml:space="preserve">
Op basis van loon loonheffing i.p.v. bruto jaarsalaris
</t>
        </r>
      </text>
    </comment>
  </commentList>
</comments>
</file>

<file path=xl/sharedStrings.xml><?xml version="1.0" encoding="utf-8"?>
<sst xmlns="http://schemas.openxmlformats.org/spreadsheetml/2006/main" count="440" uniqueCount="304">
  <si>
    <t xml:space="preserve">Partners van </t>
  </si>
  <si>
    <t>Goed (= duurzaam) werken in de GGZ</t>
  </si>
  <si>
    <t>Het Generatiepact in de GGZ</t>
  </si>
  <si>
    <t xml:space="preserve">  </t>
  </si>
  <si>
    <t xml:space="preserve">   </t>
  </si>
  <si>
    <t xml:space="preserve"> </t>
  </si>
  <si>
    <t>Generatiepact GGZ</t>
  </si>
  <si>
    <t>Voorwaarde 1: belastende functie</t>
  </si>
  <si>
    <t>Heb je een direct cliëntgebonden functie in de begeleiding, verzorging,</t>
  </si>
  <si>
    <t>verpleging of behandeling of werk je als beveiliger of schoonmaker?</t>
  </si>
  <si>
    <t>Voorwaarde 2: meer dan 24 uur werken</t>
  </si>
  <si>
    <r>
      <t xml:space="preserve">Hoeveel uur </t>
    </r>
    <r>
      <rPr>
        <u/>
        <sz val="11"/>
        <color theme="1"/>
        <rFont val="Calibri"/>
        <family val="2"/>
        <scheme val="minor"/>
      </rPr>
      <t>per week</t>
    </r>
    <r>
      <rPr>
        <sz val="11"/>
        <color theme="1"/>
        <rFont val="Calibri"/>
        <family val="2"/>
        <scheme val="minor"/>
      </rPr>
      <t xml:space="preserve"> werk je gemiddeld?</t>
    </r>
  </si>
  <si>
    <t>Vul hier het aantal uur per week in dat je voor deelname werkt.</t>
  </si>
  <si>
    <t>Voorwaarde 3: je kan uiterlijk over 4 jaar met AOW</t>
  </si>
  <si>
    <t>Wat is je geboortedatum?</t>
  </si>
  <si>
    <t xml:space="preserve">Voorwaarde voor de regeling is dat je maximaal vier jaar voor je AOW zit. </t>
  </si>
  <si>
    <t>We hebben je geboortedatum nodig om je verwachte AOW-datum te berekenen.</t>
  </si>
  <si>
    <t>Voorwaarde 4: je bent minimaal 5 jaar in dienst bij je huidige werkgever in een belastende functie</t>
  </si>
  <si>
    <t>Wat is je datum in dienst?</t>
  </si>
  <si>
    <t>Salaris</t>
  </si>
  <si>
    <t>Vul hier je "kale" brutomaandsalaris in zonder ORT en andere toeslagen. Je vindt je salaris op je loonstrook, meestal onder de kop "brutoloon".</t>
  </si>
  <si>
    <t>Salaris (€)</t>
  </si>
  <si>
    <t xml:space="preserve"> bruto per maand</t>
  </si>
  <si>
    <t>Hoeveel uren LFB-verlof heb je nog uit voorgaande jaren?</t>
  </si>
  <si>
    <t>Vul hieronder het aantal LFB-uren in dat je nog over hebt of hebt gespaard uit voorgaande kalenderjaren.</t>
  </si>
  <si>
    <t>Saldo LFB-uren</t>
  </si>
  <si>
    <t>uren</t>
  </si>
  <si>
    <t>Let op!</t>
  </si>
  <si>
    <t xml:space="preserve">Als je er voor kiest om de uren op te nemen tijdens of na afloop van deelname aan het Generatiepact of te laten uitbetalen na deelname, </t>
  </si>
  <si>
    <t xml:space="preserve">Je saldo LFB-uren wordt zo aangepast aan het nieuwe, verminderde aantal uren dat je moet werken. Blijf je meer dan 80% werken </t>
  </si>
  <si>
    <t xml:space="preserve">(dit is het geval als je nu al minder dan 30 uur werkt), dan wordt het saldo LFB-uren dus ook met minder dan 20% verminderd. </t>
  </si>
  <si>
    <t>Belangrijke data</t>
  </si>
  <si>
    <t>Start regeling vanaf:</t>
  </si>
  <si>
    <t>Einddatum van de Regeling Generatiebeleid (AOW)</t>
  </si>
  <si>
    <t>Duur van de regeling</t>
  </si>
  <si>
    <t>Vrijwillige voortzetting pensioen (PFZW)</t>
  </si>
  <si>
    <t>ja</t>
  </si>
  <si>
    <t>Verandering in uren en salaris</t>
  </si>
  <si>
    <t xml:space="preserve">Let op! Alle berekeningen zijn indicatief.
</t>
  </si>
  <si>
    <t>Huidig</t>
  </si>
  <si>
    <r>
      <t xml:space="preserve">Minder werken </t>
    </r>
    <r>
      <rPr>
        <u/>
        <sz val="11"/>
        <color theme="1"/>
        <rFont val="Calibri"/>
        <family val="2"/>
        <scheme val="minor"/>
      </rPr>
      <t>zonder</t>
    </r>
    <r>
      <rPr>
        <sz val="11"/>
        <color theme="1"/>
        <rFont val="Calibri"/>
        <family val="2"/>
        <scheme val="minor"/>
      </rPr>
      <t xml:space="preserve"> deelname aan Generatiepact</t>
    </r>
  </si>
  <si>
    <r>
      <t xml:space="preserve">Minder werken </t>
    </r>
    <r>
      <rPr>
        <u/>
        <sz val="11"/>
        <color theme="1"/>
        <rFont val="Calibri"/>
        <family val="2"/>
        <scheme val="minor"/>
      </rPr>
      <t>met</t>
    </r>
    <r>
      <rPr>
        <sz val="11"/>
        <color theme="1"/>
        <rFont val="Calibri"/>
        <family val="2"/>
        <scheme val="minor"/>
      </rPr>
      <t xml:space="preserve"> deelname aan Generatiepact</t>
    </r>
  </si>
  <si>
    <r>
      <t xml:space="preserve">Verschil tussen huidig en minder werken </t>
    </r>
    <r>
      <rPr>
        <sz val="11"/>
        <color rgb="FFFF0000"/>
        <rFont val="Calibri"/>
        <family val="2"/>
        <scheme val="minor"/>
      </rPr>
      <t>met</t>
    </r>
    <r>
      <rPr>
        <sz val="11"/>
        <color theme="1"/>
        <rFont val="Calibri"/>
        <family val="2"/>
        <scheme val="minor"/>
      </rPr>
      <t xml:space="preserve"> Generatiepact</t>
    </r>
  </si>
  <si>
    <t>Te werken uren per week</t>
  </si>
  <si>
    <t>Bruto maandsalaris*</t>
  </si>
  <si>
    <t>Netto maandsalaris*</t>
  </si>
  <si>
    <r>
      <t xml:space="preserve">Bruto Balansbudget </t>
    </r>
    <r>
      <rPr>
        <u/>
        <sz val="11"/>
        <color theme="1"/>
        <rFont val="Calibri"/>
        <family val="2"/>
        <scheme val="minor"/>
      </rPr>
      <t>per jaar</t>
    </r>
  </si>
  <si>
    <r>
      <t xml:space="preserve">Opbouw LFB </t>
    </r>
    <r>
      <rPr>
        <u/>
        <sz val="11"/>
        <color theme="1"/>
        <rFont val="Calibri"/>
        <family val="2"/>
        <scheme val="minor"/>
      </rPr>
      <t>per jaar</t>
    </r>
    <r>
      <rPr>
        <sz val="11"/>
        <color theme="1"/>
        <rFont val="Calibri"/>
        <family val="2"/>
        <scheme val="minor"/>
      </rPr>
      <t xml:space="preserve"> </t>
    </r>
    <r>
      <rPr>
        <i/>
        <sz val="11"/>
        <color theme="1"/>
        <rFont val="Calibri"/>
        <family val="2"/>
        <scheme val="minor"/>
      </rPr>
      <t>(</t>
    </r>
    <r>
      <rPr>
        <i/>
        <sz val="9"/>
        <color theme="1"/>
        <rFont val="Calibri"/>
        <family val="2"/>
        <scheme val="minor"/>
      </rPr>
      <t>in uren)</t>
    </r>
  </si>
  <si>
    <t>*  exclusief vakantiebijslag en eindejaarsuitkering</t>
  </si>
  <si>
    <r>
      <rPr>
        <sz val="11"/>
        <color theme="1"/>
        <rFont val="Wingdings"/>
        <charset val="2"/>
      </rPr>
      <t>ç</t>
    </r>
    <r>
      <rPr>
        <sz val="11"/>
        <color theme="1"/>
        <rFont val="Calibri"/>
        <family val="2"/>
      </rPr>
      <t xml:space="preserve"> </t>
    </r>
    <r>
      <rPr>
        <sz val="11"/>
        <color theme="1"/>
        <rFont val="Calibri"/>
        <family val="2"/>
        <scheme val="minor"/>
      </rPr>
      <t>Kies hier een onderwerp voor de grafiek</t>
    </r>
  </si>
  <si>
    <t>Partners</t>
  </si>
  <si>
    <t>FNV Zorg &amp; Welzijn</t>
  </si>
  <si>
    <t>FBZ Vakbond voor zorgprofessionals</t>
  </si>
  <si>
    <t>NU'91 Dé beroepsorganisatie voor zorgprofessionals</t>
  </si>
  <si>
    <t>CNV Zorg &amp; Welzijn</t>
  </si>
  <si>
    <t>Denederlandseggz.nl</t>
  </si>
  <si>
    <t>O&amp;O-fonds GGZ</t>
  </si>
  <si>
    <t>Toeslagen</t>
  </si>
  <si>
    <t>Toeslagen (belastingdienst.nl)</t>
  </si>
  <si>
    <t>Mijn toeslagen- Inloggen</t>
  </si>
  <si>
    <t>Pensioen</t>
  </si>
  <si>
    <t>Mijnpensioenoverzicht.nl</t>
  </si>
  <si>
    <t>PFZW | Particulieren</t>
  </si>
  <si>
    <t>MijnPFZW - Inloggen</t>
  </si>
  <si>
    <t>PFZW Toekomstverkenner</t>
  </si>
  <si>
    <t>Overig</t>
  </si>
  <si>
    <t>CAO GGZ 2021-2024 (denederlandseggz.nl)</t>
  </si>
  <si>
    <t>WerkUrenBerekenaar (nibud.nl)</t>
  </si>
  <si>
    <t>Zorginspirator</t>
  </si>
  <si>
    <t>Inzicht loopbaankeuzes en financiële gevolgen - O&amp;O fonds GGZ</t>
  </si>
  <si>
    <t>Tegemoetkoming Regeling Vervroegd Uittreden (RVU)</t>
  </si>
  <si>
    <t>Wist je dat?</t>
  </si>
  <si>
    <t>Er een handige CAO-app GGZ is?</t>
  </si>
  <si>
    <t>Ga naar de App Store of naar Google Play en download de app!</t>
  </si>
  <si>
    <t>CAO-artikelen Generatiepact</t>
  </si>
  <si>
    <t>CAO Preambule onder versterken inzetbaarheid Balansregeling ad 4)</t>
  </si>
  <si>
    <t>Hoofdstuk 2, artikel 37 Generatiepact</t>
  </si>
  <si>
    <t xml:space="preserve">Bijlage xv uitwerking generatiepact (Hoofdstuk 2, artikel 37) </t>
  </si>
  <si>
    <t>Andere mogelijke relevante cao-artikelen met een relatie tot generatiebeleid</t>
  </si>
  <si>
    <t>Preambule: versterken inzetbaarheid Balansregeling</t>
  </si>
  <si>
    <t>Keuzesysteem arbeidsvoorwaarden (H2 artikel 17)</t>
  </si>
  <si>
    <t>LFB (H2 artikel 18, 19 en 20)</t>
  </si>
  <si>
    <t>Opname LFB direct voorafgaande aan pensionering (H2 artikel 18 lid 7)</t>
  </si>
  <si>
    <t>Extra hersteluren (H2 artikel 30)</t>
  </si>
  <si>
    <t>Overige verlofmogelijkheden (H2 artikel 31)</t>
  </si>
  <si>
    <t>Balansbudget (H2 artikel 35 en 36 en H7 artikel 13)</t>
  </si>
  <si>
    <t>Overwerk zwangeren (H4 artikel 2 lid 5)</t>
  </si>
  <si>
    <t>Vrijstellingen bijzondere diensten (H4 artikel 14, 24 en 33)</t>
  </si>
  <si>
    <t>Maatregelen Arbeid en gezondheid (H6 artikel 1)</t>
  </si>
  <si>
    <t>Jaargesprek (H7 artikel 1 lid 5)</t>
  </si>
  <si>
    <t>Loopbaanadvies (H7 artikel 3)</t>
  </si>
  <si>
    <t>Duurzame inzetbaarheid (H7 Opleiding en ontwikkeling)</t>
  </si>
  <si>
    <t>Inzetten Balansbudget voor opleiding en ontwikkeling (H7 artikel 13)</t>
  </si>
  <si>
    <t>Bruto-netto berekening</t>
  </si>
  <si>
    <t>Deeltijdfactor</t>
  </si>
  <si>
    <t>Na deelname 
salaris</t>
  </si>
  <si>
    <t>na deelname uren</t>
  </si>
  <si>
    <t>Bruto loon</t>
  </si>
  <si>
    <t>VT</t>
  </si>
  <si>
    <t>excl. VT</t>
  </si>
  <si>
    <t>EJU</t>
  </si>
  <si>
    <t>kaal</t>
  </si>
  <si>
    <t>Jaar (inclusief VT en EJU)</t>
  </si>
  <si>
    <t>Maand (exclusief VT en EJU)</t>
  </si>
  <si>
    <t>Tarieven loonbelasting</t>
  </si>
  <si>
    <t>Zonder deelname</t>
  </si>
  <si>
    <t>Na deelname</t>
  </si>
  <si>
    <t>Grens</t>
  </si>
  <si>
    <t>Schijftarief</t>
  </si>
  <si>
    <t>Bruto parttime salaris</t>
  </si>
  <si>
    <t xml:space="preserve">Tot </t>
  </si>
  <si>
    <t>Loon voor loonheffing</t>
  </si>
  <si>
    <t>Vanaf</t>
  </si>
  <si>
    <t>Toegepast loonheffingstarief</t>
  </si>
  <si>
    <t>Pensioenpremie</t>
  </si>
  <si>
    <t>Maand</t>
  </si>
  <si>
    <t>Grondslagen</t>
  </si>
  <si>
    <t>Franchise op</t>
  </si>
  <si>
    <t>Pensioengevend loon (parttime)</t>
  </si>
  <si>
    <t>Franchise ap</t>
  </si>
  <si>
    <t>Pensioengevend loon (fulltime)</t>
  </si>
  <si>
    <t>Maximum salaris pensioenopbouw</t>
  </si>
  <si>
    <t>Premie OP (parttime)</t>
  </si>
  <si>
    <t>Premie% OP</t>
  </si>
  <si>
    <t>Premie% AP</t>
  </si>
  <si>
    <t>vanaf 21 jaar, niet naar rato</t>
  </si>
  <si>
    <t>Premie OP suppletie</t>
  </si>
  <si>
    <t>n.v.t.</t>
  </si>
  <si>
    <t>Werkgeverssdeel pensioenpremie</t>
  </si>
  <si>
    <t>Premie OP vrijwillige voorzetting</t>
  </si>
  <si>
    <t>Vrijwillige voortzetting</t>
  </si>
  <si>
    <t>Premie AP</t>
  </si>
  <si>
    <t>Formules</t>
  </si>
  <si>
    <t>Totale premie</t>
  </si>
  <si>
    <t>Premie OP = (pensioengevend jaarsalaris - OP-franchise) x deeltijdfactor x premiepercentage ouderdomspensioen</t>
  </si>
  <si>
    <t>Premie AP = (pensioengevend jaarsalaris x deeltijdfactor) - AP-franchise) x premiepercentage arbeidsongeschiktheidspensioen</t>
  </si>
  <si>
    <t>Premie AP suppletie</t>
  </si>
  <si>
    <t>Premie AP vrijwillige voorzetting</t>
  </si>
  <si>
    <t>Voor de berekening van de pensioenpremie gelden de verloonde uren als deeltijdfactor. Bij een 80-90-100 regeling is de deeltijdfactor dus 90% van het oorspronkelijke dienstverband</t>
  </si>
  <si>
    <t>Werkgeversdeel</t>
  </si>
  <si>
    <t>Premie OP</t>
  </si>
  <si>
    <t>Premie OP VV</t>
  </si>
  <si>
    <t>Premie AP VV</t>
  </si>
  <si>
    <t>Werkgeversdeel totaal</t>
  </si>
  <si>
    <t>Werknemersdeel</t>
  </si>
  <si>
    <t>Werknemersdeel totaal</t>
  </si>
  <si>
    <t>Loonbelasting</t>
  </si>
  <si>
    <t>Jaar exclusief VT en EJU</t>
  </si>
  <si>
    <t>Algemene heffingskorting</t>
  </si>
  <si>
    <t>Algemene heffingkorting</t>
  </si>
  <si>
    <t>t/m 21.317</t>
  </si>
  <si>
    <t>t/m</t>
  </si>
  <si>
    <t>tot 69.398</t>
  </si>
  <si>
    <t>tot</t>
  </si>
  <si>
    <t>€ 2.888 - 6,007% x (belastbaar inkomen uit werk en woning - € 21.317)</t>
  </si>
  <si>
    <t>vanaf 69.399</t>
  </si>
  <si>
    <t>vanaf</t>
  </si>
  <si>
    <t>Algemene heffingskorting toegepast</t>
  </si>
  <si>
    <t>Arbeidskorting</t>
  </si>
  <si>
    <t>Zie tabblad Basistabellen</t>
  </si>
  <si>
    <t>Bruto-netto</t>
  </si>
  <si>
    <t>Jaar (exclusief VT en EJU)</t>
  </si>
  <si>
    <t>Werknemersdeel pensioenpremie OP</t>
  </si>
  <si>
    <t>Werknemersdeel pensioenpremie AP</t>
  </si>
  <si>
    <t>Loonheffing voor heffingskorting</t>
  </si>
  <si>
    <t>Loonheffing</t>
  </si>
  <si>
    <t>Netto loon</t>
  </si>
  <si>
    <t>Rekenblad</t>
  </si>
  <si>
    <t>Ingangsdata</t>
  </si>
  <si>
    <t>Tekst</t>
  </si>
  <si>
    <t>Datum AOW</t>
  </si>
  <si>
    <t>Minimaal 3 maanden deelname nog mogelijk?</t>
  </si>
  <si>
    <t>Datum deelname mogelijk obv aow (4 jaar ervoor)</t>
  </si>
  <si>
    <t>Datum 5 jaar in dienst</t>
  </si>
  <si>
    <t>Eerste van de volgende maand na vandaag</t>
  </si>
  <si>
    <t>Datum eerste deelname mogelijk</t>
  </si>
  <si>
    <t>Eerst mogelijk start LFB</t>
  </si>
  <si>
    <t>Duur van de regeling in maanden</t>
  </si>
  <si>
    <t>jaren</t>
  </si>
  <si>
    <t>maand(en)</t>
  </si>
  <si>
    <t>LFB</t>
  </si>
  <si>
    <t>Leeftijd op 31-12-2009</t>
  </si>
  <si>
    <t>LFB recht</t>
  </si>
  <si>
    <t>LFB saldo in weken o.b.v. omvang dienstverband</t>
  </si>
  <si>
    <t>weken</t>
  </si>
  <si>
    <t>LFB saldo in dagen o.b.v. omvang dienstverband</t>
  </si>
  <si>
    <t>kalenderdagen t.b.v. berekening</t>
  </si>
  <si>
    <t>aantal weken tot pensioen</t>
  </si>
  <si>
    <t>aantal uur dat minimaal moet worden opgenomen om voor AOW LFB op te krijgen</t>
  </si>
  <si>
    <t>aantal uur dat maximaal per week kan worden opgenomen (zijnde de omvang van het dienstverband)</t>
  </si>
  <si>
    <t>F16&lt;=F17</t>
  </si>
  <si>
    <t>aantal minimaal op te nemen uren LFB is kleiner of gelijk aan het maximum mogelijk op te nemen uren: deelname is mogelijk minimum aantal uren moet worden weergegeven</t>
  </si>
  <si>
    <t>F16&gt;F17</t>
  </si>
  <si>
    <t>aantal minimaal op te nemen uren LFB is groter dan de contract omvang: deelname is niet mogelijk</t>
  </si>
  <si>
    <t>Scenario's</t>
  </si>
  <si>
    <t>Voorwaarden</t>
  </si>
  <si>
    <t>Direct</t>
  </si>
  <si>
    <t>Je kunt vanaf volgende maand direct gaan deelnemen aan de regeling, mits je 3 maanden van tevoren hebt aangevraagd.</t>
  </si>
  <si>
    <t>Later, ingangsdatum &lt; 5 jaar</t>
  </si>
  <si>
    <t>Later, ingangsdatum &gt; 5 jaar</t>
  </si>
  <si>
    <t>AOW is eerder dan ingangsdatum regeling</t>
  </si>
  <si>
    <t>Je zit minder dan 3 maanden voor je AOW of je hebt je AOW hebt bereikt voordat je gebruik kan maken van de regeling. Je kan dus helaas niet meer deelnemen aan de regeling.</t>
  </si>
  <si>
    <t>De voor jou geldende startdatum van het Generatiepact is later dan 3 maanden voor de start van je AOW. Je kan dus helaas niet meer deelnemen aan de regeling.</t>
  </si>
  <si>
    <t>Tabblad</t>
  </si>
  <si>
    <t xml:space="preserve">5. Kan ik deelnemen </t>
  </si>
  <si>
    <t>Belastende functie</t>
  </si>
  <si>
    <t>1=WAAR</t>
  </si>
  <si>
    <t>Geboortedatum</t>
  </si>
  <si>
    <t>0=ONWAAR</t>
  </si>
  <si>
    <t>Datum in dienst</t>
  </si>
  <si>
    <t>Uren per week</t>
  </si>
  <si>
    <t>Totaal tab 5</t>
  </si>
  <si>
    <t>6. Mijn gegevens</t>
  </si>
  <si>
    <t>salaris</t>
  </si>
  <si>
    <t>saldo LFB</t>
  </si>
  <si>
    <t>Totaal tab 6</t>
  </si>
  <si>
    <t>Alle velden ingevuld?</t>
  </si>
  <si>
    <t>Basistabellen</t>
  </si>
  <si>
    <t>Regeling</t>
  </si>
  <si>
    <t>% werken</t>
  </si>
  <si>
    <t>% betaald</t>
  </si>
  <si>
    <t xml:space="preserve">Vrijwillige voortzetting </t>
  </si>
  <si>
    <t>pensioenopbouw (PFZW)</t>
  </si>
  <si>
    <t>Fulltime norm</t>
  </si>
  <si>
    <t>uur</t>
  </si>
  <si>
    <t>Minimale arbeidsduur na deelname</t>
  </si>
  <si>
    <t>Gegevens inzicht grafiek</t>
  </si>
  <si>
    <t>jaar</t>
  </si>
  <si>
    <t>Balansbudget</t>
  </si>
  <si>
    <t>Omvang balansbudget</t>
  </si>
  <si>
    <t>AOW-tabel</t>
  </si>
  <si>
    <t>Vanaf:</t>
  </si>
  <si>
    <t>Tot:</t>
  </si>
  <si>
    <t>AOW jaar:</t>
  </si>
  <si>
    <t>Maanden tot AOW</t>
  </si>
  <si>
    <t>Maanden</t>
  </si>
  <si>
    <t>januari</t>
  </si>
  <si>
    <t>februari</t>
  </si>
  <si>
    <t>maart</t>
  </si>
  <si>
    <t>april</t>
  </si>
  <si>
    <t>mei</t>
  </si>
  <si>
    <t>juni</t>
  </si>
  <si>
    <t>juli</t>
  </si>
  <si>
    <t>augustus</t>
  </si>
  <si>
    <t>september</t>
  </si>
  <si>
    <t>oktober</t>
  </si>
  <si>
    <t>november</t>
  </si>
  <si>
    <t>december</t>
  </si>
  <si>
    <t>Tarieven box 1:</t>
  </si>
  <si>
    <t>AOW-leeftijd in 2023 nog niet bereikt</t>
  </si>
  <si>
    <t>Schijf</t>
  </si>
  <si>
    <t>Belastbaar inkomen</t>
  </si>
  <si>
    <t>Percentage</t>
  </si>
  <si>
    <r>
      <rPr>
        <b/>
        <sz val="11"/>
        <rFont val="Calibri"/>
        <family val="2"/>
        <scheme val="minor"/>
      </rPr>
      <t xml:space="preserve">Bron: </t>
    </r>
    <r>
      <rPr>
        <u/>
        <sz val="11"/>
        <color theme="10"/>
        <rFont val="Calibri"/>
        <family val="2"/>
        <scheme val="minor"/>
      </rPr>
      <t>U hebt in 2023 de AOW-leeftijd nog niet bereikt (belastingdienst.nl)</t>
    </r>
  </si>
  <si>
    <t>Tabel Arbeidskorting</t>
  </si>
  <si>
    <t>Tabel arbeidskorting 2023</t>
  </si>
  <si>
    <t>Van</t>
  </si>
  <si>
    <t>Toegepast</t>
  </si>
  <si>
    <t>Arbeidsinkomen</t>
  </si>
  <si>
    <t>tot € 10.741</t>
  </si>
  <si>
    <t>8,231% x arbeidsinkomen</t>
  </si>
  <si>
    <t>vanaf € 10.741 tot € 23.201</t>
  </si>
  <si>
    <t>€ 884 + 29,861% x (arbeidsinkomen - € 10.740)</t>
  </si>
  <si>
    <t>vanaf € 23.201 tot € 37.691</t>
  </si>
  <si>
    <t>€ 4.605 + 3,085% x (arbeidsinkomen - € 23.201)</t>
  </si>
  <si>
    <t>vanaf € 37.691 tot € 115.295</t>
  </si>
  <si>
    <t>€ 5.052 - 6,510% x (arbeidsinkomen - € 37.691)</t>
  </si>
  <si>
    <t>vanaf € 115.295</t>
  </si>
  <si>
    <t>€ 0</t>
  </si>
  <si>
    <t>Toegepaste arbeidskorting</t>
  </si>
  <si>
    <r>
      <rPr>
        <b/>
        <sz val="11"/>
        <rFont val="Calibri"/>
        <family val="2"/>
        <scheme val="minor"/>
      </rPr>
      <t xml:space="preserve">Bron: </t>
    </r>
    <r>
      <rPr>
        <u/>
        <sz val="11"/>
        <color theme="10"/>
        <rFont val="Calibri"/>
        <family val="2"/>
        <scheme val="minor"/>
      </rPr>
      <t>Tabel arbeidskorting 2023 (belastingdienst.nl)</t>
    </r>
  </si>
  <si>
    <t>Tabel algemene heffingskorting</t>
  </si>
  <si>
    <t>Tabel algemene heffingskorting 2023</t>
  </si>
  <si>
    <t>Belastbaar inkomen uit werk en woning</t>
  </si>
  <si>
    <t>tot € 22.661</t>
  </si>
  <si>
    <t>vanaf € 22.661 tot € 73.031</t>
  </si>
  <si>
    <t>€ 3.070 - 6,095% x (belastbaar inkomen uit werk en woning - € 22.660)</t>
  </si>
  <si>
    <t>vanaf € 73.031</t>
  </si>
  <si>
    <r>
      <rPr>
        <b/>
        <sz val="11"/>
        <rFont val="Calibri"/>
        <family val="2"/>
        <scheme val="minor"/>
      </rPr>
      <t xml:space="preserve">Bron: </t>
    </r>
    <r>
      <rPr>
        <u/>
        <sz val="11"/>
        <color theme="10"/>
        <rFont val="Calibri"/>
        <family val="2"/>
        <scheme val="minor"/>
      </rPr>
      <t>Tabel algemene heffingskorting 2023 (belastingdienst.nl)</t>
    </r>
  </si>
  <si>
    <r>
      <rPr>
        <b/>
        <sz val="11"/>
        <rFont val="Calibri"/>
        <family val="2"/>
        <scheme val="minor"/>
      </rPr>
      <t xml:space="preserve">Bron: </t>
    </r>
    <r>
      <rPr>
        <u/>
        <sz val="11"/>
        <color theme="10"/>
        <rFont val="Calibri"/>
        <family val="2"/>
        <scheme val="minor"/>
      </rPr>
      <t>Premiepercentages en franchises - Werkgevers | PFZW</t>
    </r>
  </si>
  <si>
    <t>Standaard recht</t>
  </si>
  <si>
    <t>Overgangsrecht</t>
  </si>
  <si>
    <t>lfb</t>
  </si>
  <si>
    <t>Maak in dit werkblad een infographic-tijdlijn door belangrijke mijlpalen en activiteiten in te voeren.
De titel van dit werkblad staat in cel B1. 
Informatie over hoe u dit werkblad gebruikt, waaronder instructies voor schermlezers, staat in het werkblad Over.
Navigeer verder omlaag in kolom A voor verdere instructies.</t>
  </si>
  <si>
    <t>Infographic-grafiekgegevens</t>
  </si>
  <si>
    <t>Kies hoe datums in de grafiek worden weergegeven door "Jaar" of "Dag Maand" te selecteren in de vervolgkeuzelijst in cel D2.</t>
  </si>
  <si>
    <t>Plaats mijlpalen op de grafiek op Jaar of Dag Maand, of laat leeg. Selecteer rechts een optie:</t>
  </si>
  <si>
    <t>Dag Maand</t>
  </si>
  <si>
    <t>Koppen voor de tabel Grafiekgegevens staan in de cellen B3 t/m D3.</t>
  </si>
  <si>
    <t>Datum</t>
  </si>
  <si>
    <t>Mijlpaaltitel</t>
  </si>
  <si>
    <t>Beschrijving of activiteit</t>
  </si>
  <si>
    <t>Voer in de cellen B4 t/m B8 mijlpaaldatums in. 
Voer in de cellen C4 t/m C8 mijlpaaltitels in.
Voer in de cellen D4 t/m D8 mijlpaalbeschrijvingen of activiteiten in.
Dit is de laatste instructie in dit werkblad.</t>
  </si>
  <si>
    <t>Nu</t>
  </si>
  <si>
    <t>Je laatste loopbaanfase; hoe ga je deze invullen? Op basis van jouw idee zie je hierbij "je route" voor de komende jaren. Een besluit genomen? Bespreek dit plan dan met je werkgever.</t>
  </si>
  <si>
    <t>Start regeling</t>
  </si>
  <si>
    <t>Je LFB-verlofsaldo heb je volledig genoten.  Nu start je met het Generatiepact.</t>
  </si>
  <si>
    <t>Pensioendatum</t>
  </si>
  <si>
    <t>Je hebt de (verwachte) AOW-leeftijd bereikt en kan met pensioen. Het Generatiepact eindigt hier, net als je dienstverband.</t>
  </si>
  <si>
    <t>Grafiekgegevens (verborgen) - Zorg dat u dit werkblad NIET verwijdert</t>
  </si>
  <si>
    <t>Jaar</t>
  </si>
  <si>
    <t>&lt;-- jaar voor de beginpositie van de roadmap</t>
  </si>
  <si>
    <t>&lt;-- jaar voor de middelste periode van de roadmap (NB: dit kan leeg zijn als het hetzelfde jaar is als de beginpositie van de roadmap)</t>
  </si>
  <si>
    <t>&lt;-- jaar voor de eindpositie van de roadmap (NB: dit kan leeg zijn als het hetzelfde jaar is als de beginpositie van de roadmap)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</si>
</sst>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quot;€&quot;\ #,##0;[Red]&quot;€&quot;\ \-#,##0"/>
    <numFmt numFmtId="44" formatCode="_ &quot;€&quot;\ * #,##0.00_ ;_ &quot;€&quot;\ * \-#,##0.00_ ;_ &quot;€&quot;\ * &quot;-&quot;??_ ;_ @_ "/>
    <numFmt numFmtId="43" formatCode="_ * #,##0.00_ ;_ * \-#,##0.00_ ;_ * &quot;-&quot;??_ ;_ @_ "/>
    <numFmt numFmtId="164" formatCode="dd/mm/yyyy"/>
    <numFmt numFmtId="165" formatCode="dd/mm/yy;@"/>
    <numFmt numFmtId="166" formatCode="[$-413]d\ mmmm\ yyyy;@"/>
    <numFmt numFmtId="167" formatCode="_ * #,##0_ ;_ * \-#,##0_ ;_ * &quot;-&quot;??_ ;_ @_ "/>
    <numFmt numFmtId="168" formatCode=";;;"/>
    <numFmt numFmtId="169" formatCode="d\-m\-yyyy"/>
    <numFmt numFmtId="170" formatCode="0.0"/>
    <numFmt numFmtId="171" formatCode="0.0000000000"/>
    <numFmt numFmtId="172" formatCode="[$-F800]dddd\,\ mmmm\ dd\,\ yyyy"/>
  </numFmts>
  <fonts count="34">
    <font>
      <sz val="11"/>
      <color theme="1"/>
      <name val="Calibri"/>
      <family val="2"/>
      <scheme val="minor"/>
    </font>
    <font>
      <sz val="18"/>
      <color theme="3"/>
      <name val="Calibri Light"/>
      <family val="2"/>
      <scheme val="major"/>
    </font>
    <font>
      <b/>
      <sz val="11"/>
      <color rgb="FF3F3F3F"/>
      <name val="Calibri"/>
      <family val="2"/>
      <scheme val="minor"/>
    </font>
    <font>
      <sz val="11"/>
      <color theme="0"/>
      <name val="Calibri"/>
      <family val="2"/>
      <scheme val="minor"/>
    </font>
    <font>
      <sz val="11"/>
      <name val="Calibri"/>
      <family val="2"/>
      <scheme val="minor"/>
    </font>
    <font>
      <sz val="11"/>
      <color theme="1"/>
      <name val="Calibri"/>
      <family val="2"/>
      <scheme val="minor"/>
    </font>
    <font>
      <b/>
      <sz val="11"/>
      <color theme="3"/>
      <name val="Calibri"/>
      <family val="2"/>
      <scheme val="minor"/>
    </font>
    <font>
      <i/>
      <sz val="11"/>
      <color rgb="FF7F7F7F"/>
      <name val="Calibri"/>
      <family val="2"/>
      <scheme val="minor"/>
    </font>
    <font>
      <b/>
      <sz val="11"/>
      <color theme="1"/>
      <name val="Calibri"/>
      <family val="2"/>
      <scheme val="minor"/>
    </font>
    <font>
      <sz val="11"/>
      <color theme="3" tint="-0.499984740745262"/>
      <name val="Calibri"/>
      <family val="2"/>
      <scheme val="minor"/>
    </font>
    <font>
      <b/>
      <sz val="14"/>
      <color theme="3"/>
      <name val="Calibri Light"/>
      <family val="2"/>
      <scheme val="major"/>
    </font>
    <font>
      <i/>
      <sz val="11"/>
      <color theme="1"/>
      <name val="Calibri"/>
      <family val="2"/>
      <scheme val="minor"/>
    </font>
    <font>
      <i/>
      <sz val="9"/>
      <color theme="1"/>
      <name val="Calibri"/>
      <family val="2"/>
      <scheme val="minor"/>
    </font>
    <font>
      <sz val="11"/>
      <color rgb="FFFF0000"/>
      <name val="Calibri"/>
      <family val="2"/>
      <scheme val="minor"/>
    </font>
    <font>
      <sz val="11"/>
      <color rgb="FF9C5700"/>
      <name val="Calibri"/>
      <family val="2"/>
      <scheme val="minor"/>
    </font>
    <font>
      <u/>
      <sz val="11"/>
      <color theme="1"/>
      <name val="Calibri"/>
      <family val="2"/>
      <scheme val="minor"/>
    </font>
    <font>
      <i/>
      <sz val="11"/>
      <color theme="0" tint="-0.249977111117893"/>
      <name val="Calibri"/>
      <family val="2"/>
      <scheme val="minor"/>
    </font>
    <font>
      <b/>
      <sz val="11"/>
      <color rgb="FFFF0000"/>
      <name val="Calibri"/>
      <family val="2"/>
      <scheme val="minor"/>
    </font>
    <font>
      <b/>
      <sz val="11"/>
      <name val="Calibri"/>
      <family val="2"/>
      <scheme val="minor"/>
    </font>
    <font>
      <sz val="8"/>
      <name val="Calibri"/>
      <family val="2"/>
      <scheme val="minor"/>
    </font>
    <font>
      <u/>
      <sz val="11"/>
      <color theme="10"/>
      <name val="Calibri"/>
      <family val="2"/>
      <scheme val="minor"/>
    </font>
    <font>
      <sz val="9"/>
      <color indexed="81"/>
      <name val="Tahoma"/>
      <family val="2"/>
    </font>
    <font>
      <b/>
      <sz val="9"/>
      <color indexed="81"/>
      <name val="Tahoma"/>
      <family val="2"/>
    </font>
    <font>
      <b/>
      <sz val="13"/>
      <color theme="1"/>
      <name val="Calibri"/>
      <family val="2"/>
      <scheme val="minor"/>
    </font>
    <font>
      <sz val="28"/>
      <color rgb="FF558EC7"/>
      <name val="Calibri"/>
      <family val="2"/>
      <scheme val="minor"/>
    </font>
    <font>
      <sz val="18"/>
      <color theme="0"/>
      <name val="Calibri"/>
      <family val="2"/>
      <scheme val="minor"/>
    </font>
    <font>
      <sz val="18"/>
      <color rgb="FF558EC7"/>
      <name val="Calibri"/>
      <family val="2"/>
      <scheme val="minor"/>
    </font>
    <font>
      <sz val="11"/>
      <color rgb="FF0080A3"/>
      <name val="Calibri"/>
      <family val="2"/>
      <scheme val="minor"/>
    </font>
    <font>
      <sz val="11"/>
      <color theme="1"/>
      <name val="Wingdings"/>
      <charset val="2"/>
    </font>
    <font>
      <sz val="11"/>
      <color theme="1"/>
      <name val="Calibri"/>
      <family val="2"/>
    </font>
    <font>
      <sz val="11"/>
      <color theme="1"/>
      <name val="Calibri"/>
      <family val="2"/>
      <charset val="2"/>
      <scheme val="minor"/>
    </font>
    <font>
      <sz val="24"/>
      <color rgb="FF558EC7"/>
      <name val="Calibri"/>
      <family val="2"/>
      <scheme val="minor"/>
    </font>
    <font>
      <sz val="14"/>
      <color rgb="FF0080A3"/>
      <name val="Calibri Light"/>
      <family val="2"/>
      <scheme val="major"/>
    </font>
    <font>
      <b/>
      <sz val="14"/>
      <color theme="1"/>
      <name val="Calibri"/>
      <family val="2"/>
      <scheme val="minor"/>
    </font>
  </fonts>
  <fills count="10">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theme="4"/>
      </patternFill>
    </fill>
    <fill>
      <patternFill patternType="solid">
        <fgColor theme="0"/>
        <bgColor indexed="64"/>
      </patternFill>
    </fill>
    <fill>
      <patternFill patternType="solid">
        <fgColor rgb="FFFFEB9C"/>
      </patternFill>
    </fill>
    <fill>
      <patternFill patternType="solid">
        <fgColor theme="0" tint="-0.14999847407452621"/>
        <bgColor indexed="64"/>
      </patternFill>
    </fill>
    <fill>
      <patternFill patternType="solid">
        <fgColor rgb="FFFFCC00"/>
        <bgColor indexed="64"/>
      </patternFill>
    </fill>
    <fill>
      <patternFill patternType="solid">
        <fgColor rgb="FFE40150"/>
        <bgColor indexed="64"/>
      </patternFill>
    </fill>
  </fills>
  <borders count="15">
    <border>
      <left/>
      <right/>
      <top/>
      <bottom/>
      <diagonal/>
    </border>
    <border>
      <left style="thin">
        <color rgb="FF3F3F3F"/>
      </left>
      <right style="thin">
        <color rgb="FF3F3F3F"/>
      </right>
      <top style="thin">
        <color rgb="FF3F3F3F"/>
      </top>
      <bottom style="thin">
        <color rgb="FF3F3F3F"/>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0"/>
      </bottom>
      <diagonal/>
    </border>
    <border>
      <left/>
      <right/>
      <top style="thin">
        <color theme="0"/>
      </top>
      <bottom style="thin">
        <color theme="0"/>
      </bottom>
      <diagonal/>
    </border>
    <border>
      <left/>
      <right/>
      <top/>
      <bottom style="thin">
        <color indexed="64"/>
      </bottom>
      <diagonal/>
    </border>
    <border>
      <left/>
      <right/>
      <top style="medium">
        <color theme="0"/>
      </top>
      <bottom/>
      <diagonal/>
    </border>
    <border>
      <left/>
      <right/>
      <top style="thin">
        <color rgb="FFB35A17"/>
      </top>
      <bottom/>
      <diagonal/>
    </border>
    <border>
      <left/>
      <right/>
      <top style="thin">
        <color rgb="FF0080A3"/>
      </top>
      <bottom/>
      <diagonal/>
    </border>
    <border>
      <left/>
      <right/>
      <top style="thin">
        <color rgb="FFFFCC00"/>
      </top>
      <bottom/>
      <diagonal/>
    </border>
    <border>
      <left/>
      <right/>
      <top style="thin">
        <color rgb="FFFFCC00"/>
      </top>
      <bottom style="medium">
        <color theme="0"/>
      </bottom>
      <diagonal/>
    </border>
  </borders>
  <cellStyleXfs count="15">
    <xf numFmtId="0" fontId="0" fillId="0" borderId="0"/>
    <xf numFmtId="0" fontId="1" fillId="0" borderId="0" applyNumberFormat="0" applyFill="0" applyBorder="0" applyAlignment="0" applyProtection="0"/>
    <xf numFmtId="0" fontId="2" fillId="2" borderId="1" applyNumberFormat="0" applyAlignment="0" applyProtection="0"/>
    <xf numFmtId="43" fontId="5" fillId="0" borderId="0" applyFont="0" applyFill="0" applyBorder="0" applyAlignment="0" applyProtection="0"/>
    <xf numFmtId="9" fontId="5" fillId="0" borderId="0" applyFont="0" applyFill="0" applyBorder="0" applyAlignment="0" applyProtection="0"/>
    <xf numFmtId="0" fontId="6" fillId="0" borderId="2" applyNumberFormat="0" applyFill="0" applyAlignment="0" applyProtection="0"/>
    <xf numFmtId="0" fontId="7" fillId="0" borderId="0" applyNumberFormat="0" applyFill="0" applyBorder="0" applyAlignment="0" applyProtection="0"/>
    <xf numFmtId="0" fontId="3" fillId="0" borderId="0">
      <alignment vertical="center"/>
    </xf>
    <xf numFmtId="0" fontId="10" fillId="0" borderId="0" applyNumberFormat="0" applyFill="0" applyProtection="0"/>
    <xf numFmtId="0" fontId="9" fillId="0" borderId="0">
      <alignment vertical="center" wrapText="1"/>
    </xf>
    <xf numFmtId="14" fontId="5" fillId="0" borderId="0" applyFont="0" applyFill="0" applyBorder="0">
      <alignment horizontal="center" vertical="center" wrapText="1"/>
    </xf>
    <xf numFmtId="0" fontId="3" fillId="4" borderId="0" applyNumberFormat="0" applyBorder="0" applyAlignment="0" applyProtection="0"/>
    <xf numFmtId="0" fontId="14" fillId="6" borderId="0" applyNumberFormat="0" applyBorder="0" applyAlignment="0" applyProtection="0"/>
    <xf numFmtId="0" fontId="20" fillId="0" borderId="0" applyNumberFormat="0" applyFill="0" applyBorder="0" applyAlignment="0" applyProtection="0"/>
    <xf numFmtId="44" fontId="5" fillId="0" borderId="0" applyFont="0" applyFill="0" applyBorder="0" applyAlignment="0" applyProtection="0"/>
  </cellStyleXfs>
  <cellXfs count="141">
    <xf numFmtId="0" fontId="0" fillId="0" borderId="0" xfId="0"/>
    <xf numFmtId="0" fontId="0" fillId="0" borderId="0" xfId="0" applyAlignment="1">
      <alignment horizontal="left"/>
    </xf>
    <xf numFmtId="10" fontId="0" fillId="0" borderId="0" xfId="0" applyNumberFormat="1"/>
    <xf numFmtId="167" fontId="0" fillId="0" borderId="0" xfId="3" applyNumberFormat="1" applyFont="1"/>
    <xf numFmtId="168" fontId="5" fillId="0" borderId="0" xfId="7" applyNumberFormat="1" applyFont="1">
      <alignment vertical="center"/>
    </xf>
    <xf numFmtId="0" fontId="10" fillId="0" borderId="0" xfId="8"/>
    <xf numFmtId="0" fontId="9" fillId="0" borderId="0" xfId="9">
      <alignment vertical="center" wrapText="1"/>
    </xf>
    <xf numFmtId="0" fontId="6" fillId="0" borderId="0" xfId="9" applyFont="1" applyAlignment="1">
      <alignment horizontal="center" vertical="center" wrapText="1"/>
    </xf>
    <xf numFmtId="169" fontId="9" fillId="0" borderId="0" xfId="9" applyNumberFormat="1" applyAlignment="1">
      <alignment wrapText="1"/>
    </xf>
    <xf numFmtId="0" fontId="9" fillId="0" borderId="0" xfId="9" applyAlignment="1">
      <alignment wrapText="1"/>
    </xf>
    <xf numFmtId="14" fontId="0" fillId="0" borderId="0" xfId="10" applyFont="1">
      <alignment horizontal="center" vertical="center" wrapText="1"/>
    </xf>
    <xf numFmtId="0" fontId="9" fillId="0" borderId="0" xfId="9" applyAlignment="1"/>
    <xf numFmtId="10" fontId="0" fillId="0" borderId="0" xfId="4" applyNumberFormat="1" applyFont="1"/>
    <xf numFmtId="167" fontId="0" fillId="0" borderId="0" xfId="0" applyNumberFormat="1"/>
    <xf numFmtId="0" fontId="6" fillId="0" borderId="2" xfId="5"/>
    <xf numFmtId="0" fontId="0" fillId="0" borderId="0" xfId="0" applyAlignment="1">
      <alignment horizontal="left" indent="1"/>
    </xf>
    <xf numFmtId="0" fontId="8" fillId="0" borderId="0" xfId="0" applyFont="1"/>
    <xf numFmtId="10" fontId="8" fillId="0" borderId="0" xfId="0" applyNumberFormat="1" applyFont="1"/>
    <xf numFmtId="167" fontId="0" fillId="0" borderId="0" xfId="3" applyNumberFormat="1" applyFont="1" applyAlignment="1">
      <alignment horizontal="right"/>
    </xf>
    <xf numFmtId="167" fontId="8" fillId="0" borderId="0" xfId="0" applyNumberFormat="1" applyFont="1"/>
    <xf numFmtId="0" fontId="11" fillId="0" borderId="0" xfId="0" applyFont="1"/>
    <xf numFmtId="0" fontId="0" fillId="0" borderId="0" xfId="0"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right"/>
    </xf>
    <xf numFmtId="0" fontId="12" fillId="0" borderId="0" xfId="0" applyFont="1" applyAlignment="1">
      <alignment horizontal="left" vertical="center"/>
    </xf>
    <xf numFmtId="43" fontId="0" fillId="0" borderId="0" xfId="0" applyNumberFormat="1"/>
    <xf numFmtId="0" fontId="13" fillId="0" borderId="0" xfId="0" applyFont="1"/>
    <xf numFmtId="0" fontId="3" fillId="5" borderId="0" xfId="0" applyFont="1" applyFill="1"/>
    <xf numFmtId="0" fontId="17" fillId="0" borderId="0" xfId="0" applyFont="1"/>
    <xf numFmtId="165" fontId="9" fillId="0" borderId="0" xfId="9" applyNumberFormat="1">
      <alignment vertical="center" wrapText="1"/>
    </xf>
    <xf numFmtId="165" fontId="9" fillId="3" borderId="7" xfId="9" applyNumberFormat="1" applyFill="1" applyBorder="1">
      <alignment vertical="center" wrapText="1"/>
    </xf>
    <xf numFmtId="165" fontId="9" fillId="3" borderId="8" xfId="9" applyNumberFormat="1" applyFill="1" applyBorder="1">
      <alignment vertical="center" wrapText="1"/>
    </xf>
    <xf numFmtId="1" fontId="9" fillId="3" borderId="3" xfId="9" applyNumberFormat="1" applyFill="1" applyBorder="1">
      <alignment vertical="center" wrapText="1"/>
    </xf>
    <xf numFmtId="165" fontId="0" fillId="0" borderId="0" xfId="0" applyNumberFormat="1"/>
    <xf numFmtId="14" fontId="0" fillId="0" borderId="0" xfId="0" applyNumberFormat="1"/>
    <xf numFmtId="1" fontId="9" fillId="3" borderId="3" xfId="9" applyNumberFormat="1" applyFill="1" applyBorder="1" applyAlignment="1">
      <alignment horizontal="left" vertical="center" wrapText="1" indent="1"/>
    </xf>
    <xf numFmtId="0" fontId="8" fillId="0" borderId="0" xfId="0" applyFont="1" applyAlignment="1">
      <alignment horizontal="center"/>
    </xf>
    <xf numFmtId="14" fontId="4" fillId="0" borderId="0" xfId="10" applyFont="1">
      <alignment horizontal="center" vertical="center" wrapText="1"/>
    </xf>
    <xf numFmtId="0" fontId="20" fillId="0" borderId="0" xfId="13"/>
    <xf numFmtId="0" fontId="2" fillId="2" borderId="1" xfId="2" applyAlignment="1" applyProtection="1">
      <alignment horizontal="center"/>
      <protection locked="0"/>
    </xf>
    <xf numFmtId="10" fontId="0" fillId="0" borderId="0" xfId="0" applyNumberFormat="1" applyAlignment="1">
      <alignment horizontal="right"/>
    </xf>
    <xf numFmtId="0" fontId="4" fillId="0" borderId="0" xfId="0" applyFont="1" applyAlignment="1">
      <alignment horizontal="left"/>
    </xf>
    <xf numFmtId="0" fontId="0" fillId="0" borderId="0" xfId="3" applyNumberFormat="1" applyFont="1" applyAlignment="1">
      <alignment horizontal="left"/>
    </xf>
    <xf numFmtId="0" fontId="6" fillId="0" borderId="2" xfId="5" applyProtection="1"/>
    <xf numFmtId="167" fontId="13" fillId="0" borderId="0" xfId="0" applyNumberFormat="1" applyFont="1"/>
    <xf numFmtId="43" fontId="13" fillId="0" borderId="0" xfId="0" applyNumberFormat="1" applyFont="1"/>
    <xf numFmtId="0" fontId="13" fillId="0" borderId="0" xfId="0" quotePrefix="1" applyFont="1"/>
    <xf numFmtId="43" fontId="8" fillId="0" borderId="0" xfId="0" applyNumberFormat="1" applyFont="1"/>
    <xf numFmtId="43" fontId="4" fillId="0" borderId="0" xfId="0" applyNumberFormat="1" applyFont="1"/>
    <xf numFmtId="43" fontId="4" fillId="0" borderId="0" xfId="0" applyNumberFormat="1" applyFont="1" applyAlignment="1">
      <alignment horizontal="left" indent="2"/>
    </xf>
    <xf numFmtId="0" fontId="0" fillId="0" borderId="0" xfId="0" applyAlignment="1">
      <alignment horizontal="right" indent="1"/>
    </xf>
    <xf numFmtId="167" fontId="0" fillId="0" borderId="0" xfId="3" applyNumberFormat="1" applyFont="1" applyAlignment="1">
      <alignment horizontal="left"/>
    </xf>
    <xf numFmtId="0" fontId="0" fillId="0" borderId="0" xfId="0" applyAlignment="1">
      <alignment horizontal="left" indent="5"/>
    </xf>
    <xf numFmtId="164" fontId="16" fillId="0" borderId="0" xfId="0" applyNumberFormat="1" applyFont="1" applyAlignment="1">
      <alignment horizontal="left"/>
    </xf>
    <xf numFmtId="0" fontId="16" fillId="0" borderId="0" xfId="0" applyFont="1"/>
    <xf numFmtId="1" fontId="0" fillId="0" borderId="0" xfId="0" applyNumberFormat="1"/>
    <xf numFmtId="164" fontId="0" fillId="0" borderId="0" xfId="0" applyNumberFormat="1" applyAlignment="1">
      <alignment horizontal="left"/>
    </xf>
    <xf numFmtId="0" fontId="4" fillId="0" borderId="0" xfId="0" applyFont="1"/>
    <xf numFmtId="14" fontId="0" fillId="0" borderId="0" xfId="0" applyNumberFormat="1" applyAlignment="1">
      <alignment horizontal="left"/>
    </xf>
    <xf numFmtId="167" fontId="8" fillId="0" borderId="0" xfId="3" applyNumberFormat="1" applyFont="1"/>
    <xf numFmtId="0" fontId="8" fillId="0" borderId="0" xfId="0" applyFont="1" applyAlignment="1">
      <alignment horizontal="left"/>
    </xf>
    <xf numFmtId="9" fontId="2" fillId="2" borderId="1" xfId="2" applyNumberFormat="1" applyProtection="1">
      <protection locked="0"/>
    </xf>
    <xf numFmtId="167" fontId="2" fillId="2" borderId="1" xfId="2" applyNumberFormat="1" applyProtection="1">
      <protection locked="0"/>
    </xf>
    <xf numFmtId="0" fontId="0" fillId="3" borderId="3" xfId="0" applyFill="1" applyBorder="1" applyAlignment="1">
      <alignment horizontal="center"/>
    </xf>
    <xf numFmtId="2" fontId="0" fillId="0" borderId="0" xfId="0" applyNumberFormat="1"/>
    <xf numFmtId="2" fontId="13" fillId="0" borderId="0" xfId="0" applyNumberFormat="1" applyFont="1"/>
    <xf numFmtId="43" fontId="0" fillId="0" borderId="0" xfId="3" applyFont="1"/>
    <xf numFmtId="0" fontId="16" fillId="0" borderId="0" xfId="0" applyFont="1" applyAlignment="1">
      <alignment horizontal="right"/>
    </xf>
    <xf numFmtId="0" fontId="15" fillId="0" borderId="0" xfId="0" applyFont="1"/>
    <xf numFmtId="43" fontId="18" fillId="0" borderId="0" xfId="0" applyNumberFormat="1" applyFont="1"/>
    <xf numFmtId="43" fontId="18" fillId="0" borderId="0" xfId="0" applyNumberFormat="1" applyFont="1" applyAlignment="1">
      <alignment horizontal="left" indent="2"/>
    </xf>
    <xf numFmtId="0" fontId="0" fillId="0" borderId="9" xfId="0" applyBorder="1"/>
    <xf numFmtId="0" fontId="16" fillId="0" borderId="9" xfId="0" applyFont="1" applyBorder="1" applyAlignment="1">
      <alignment horizontal="right"/>
    </xf>
    <xf numFmtId="43" fontId="0" fillId="0" borderId="9" xfId="0" applyNumberFormat="1" applyBorder="1"/>
    <xf numFmtId="43" fontId="4" fillId="0" borderId="9" xfId="0" applyNumberFormat="1" applyFont="1" applyBorder="1"/>
    <xf numFmtId="43" fontId="17" fillId="0" borderId="0" xfId="0" applyNumberFormat="1" applyFont="1"/>
    <xf numFmtId="43" fontId="13" fillId="0" borderId="0" xfId="0" applyNumberFormat="1" applyFont="1" applyAlignment="1">
      <alignment horizontal="right"/>
    </xf>
    <xf numFmtId="10" fontId="8" fillId="0" borderId="0" xfId="0" applyNumberFormat="1" applyFont="1" applyAlignment="1">
      <alignment horizontal="right"/>
    </xf>
    <xf numFmtId="0" fontId="18" fillId="5" borderId="0" xfId="12" applyFont="1" applyFill="1"/>
    <xf numFmtId="170" fontId="0" fillId="0" borderId="0" xfId="0" applyNumberFormat="1"/>
    <xf numFmtId="165" fontId="9" fillId="3" borderId="0" xfId="9" applyNumberFormat="1" applyFill="1">
      <alignment vertical="center" wrapText="1"/>
    </xf>
    <xf numFmtId="0" fontId="16" fillId="0" borderId="0" xfId="0" applyFont="1" applyAlignment="1">
      <alignment horizontal="left"/>
    </xf>
    <xf numFmtId="0" fontId="23" fillId="0" borderId="0" xfId="0" applyFont="1"/>
    <xf numFmtId="10" fontId="8" fillId="0" borderId="0" xfId="0" applyNumberFormat="1" applyFont="1" applyAlignment="1">
      <alignment horizontal="center" vertical="center" wrapText="1"/>
    </xf>
    <xf numFmtId="0" fontId="8" fillId="0" borderId="0" xfId="0" applyFont="1" applyAlignment="1">
      <alignment horizontal="center" vertical="center" wrapText="1"/>
    </xf>
    <xf numFmtId="6" fontId="0" fillId="0" borderId="0" xfId="0" applyNumberFormat="1"/>
    <xf numFmtId="0" fontId="24" fillId="7" borderId="0" xfId="0" applyFont="1" applyFill="1"/>
    <xf numFmtId="0" fontId="0" fillId="7" borderId="0" xfId="0" applyFill="1"/>
    <xf numFmtId="0" fontId="0" fillId="0" borderId="0" xfId="0" applyAlignment="1">
      <alignment vertical="center"/>
    </xf>
    <xf numFmtId="0" fontId="26" fillId="7" borderId="0" xfId="0" applyFont="1" applyFill="1"/>
    <xf numFmtId="0" fontId="23" fillId="7" borderId="0" xfId="0" applyFont="1" applyFill="1"/>
    <xf numFmtId="0" fontId="13" fillId="0" borderId="0" xfId="0" applyFont="1" applyAlignment="1">
      <alignment vertical="center"/>
    </xf>
    <xf numFmtId="0" fontId="4" fillId="0" borderId="0" xfId="13" applyFont="1"/>
    <xf numFmtId="171" fontId="0" fillId="0" borderId="0" xfId="0" applyNumberFormat="1"/>
    <xf numFmtId="0" fontId="8" fillId="0" borderId="0" xfId="0" applyFont="1" applyAlignment="1">
      <alignment horizontal="center" vertical="top"/>
    </xf>
    <xf numFmtId="44" fontId="0" fillId="0" borderId="0" xfId="14" applyFont="1"/>
    <xf numFmtId="167" fontId="0" fillId="3" borderId="3" xfId="3" applyNumberFormat="1" applyFont="1" applyFill="1" applyBorder="1" applyAlignment="1">
      <alignment horizontal="right" vertical="center"/>
    </xf>
    <xf numFmtId="166" fontId="0" fillId="3" borderId="10" xfId="0" applyNumberFormat="1" applyFill="1" applyBorder="1" applyAlignment="1">
      <alignment horizontal="left"/>
    </xf>
    <xf numFmtId="172" fontId="0" fillId="0" borderId="0" xfId="0" applyNumberFormat="1"/>
    <xf numFmtId="0" fontId="13" fillId="0" borderId="0" xfId="0" applyFont="1" applyAlignment="1">
      <alignment horizontal="center"/>
    </xf>
    <xf numFmtId="0" fontId="20" fillId="0" borderId="0" xfId="13" applyFill="1" applyAlignment="1">
      <alignment horizontal="center"/>
    </xf>
    <xf numFmtId="0" fontId="0" fillId="5" borderId="0" xfId="0" applyFill="1"/>
    <xf numFmtId="0" fontId="2" fillId="0" borderId="1" xfId="2" applyFill="1" applyProtection="1">
      <protection locked="0"/>
    </xf>
    <xf numFmtId="14" fontId="2" fillId="0" borderId="1" xfId="2" applyNumberFormat="1" applyFill="1" applyProtection="1">
      <protection locked="0"/>
    </xf>
    <xf numFmtId="0" fontId="27" fillId="0" borderId="0" xfId="5" applyFont="1" applyFill="1" applyBorder="1"/>
    <xf numFmtId="0" fontId="6" fillId="0" borderId="0" xfId="5" applyFill="1" applyBorder="1"/>
    <xf numFmtId="0" fontId="27" fillId="0" borderId="0" xfId="5" applyFont="1" applyBorder="1"/>
    <xf numFmtId="0" fontId="6" fillId="0" borderId="0" xfId="5" applyBorder="1"/>
    <xf numFmtId="0" fontId="0" fillId="0" borderId="11" xfId="0" applyBorder="1"/>
    <xf numFmtId="0" fontId="0" fillId="8" borderId="0" xfId="0" applyFill="1"/>
    <xf numFmtId="0" fontId="0" fillId="0" borderId="12" xfId="0" applyBorder="1"/>
    <xf numFmtId="0" fontId="8" fillId="8" borderId="0" xfId="0" applyFont="1" applyFill="1" applyAlignment="1">
      <alignment horizontal="left" indent="1"/>
    </xf>
    <xf numFmtId="0" fontId="0" fillId="8" borderId="0" xfId="0" applyFill="1" applyAlignment="1">
      <alignment horizontal="left" indent="1"/>
    </xf>
    <xf numFmtId="0" fontId="0" fillId="0" borderId="13" xfId="0" applyBorder="1"/>
    <xf numFmtId="166" fontId="0" fillId="3" borderId="14" xfId="0" applyNumberFormat="1" applyFill="1" applyBorder="1" applyAlignment="1">
      <alignment horizontal="left"/>
    </xf>
    <xf numFmtId="0" fontId="0" fillId="0" borderId="13" xfId="0" applyBorder="1" applyAlignment="1">
      <alignment horizontal="center"/>
    </xf>
    <xf numFmtId="167" fontId="3" fillId="0" borderId="0" xfId="3" applyNumberFormat="1" applyFont="1"/>
    <xf numFmtId="0" fontId="2" fillId="2" borderId="1" xfId="2" applyProtection="1">
      <protection locked="0"/>
    </xf>
    <xf numFmtId="0" fontId="30" fillId="0" borderId="0" xfId="0" applyFont="1" applyAlignment="1">
      <alignment horizontal="left" indent="1"/>
    </xf>
    <xf numFmtId="0" fontId="30" fillId="0" borderId="0" xfId="0" applyFont="1" applyAlignment="1">
      <alignment horizontal="left" indent="2"/>
    </xf>
    <xf numFmtId="0" fontId="0" fillId="9" borderId="0" xfId="0" applyFill="1"/>
    <xf numFmtId="0" fontId="25" fillId="9" borderId="0" xfId="0" applyFont="1" applyFill="1" applyAlignment="1">
      <alignment horizontal="center"/>
    </xf>
    <xf numFmtId="0" fontId="25" fillId="9" borderId="0" xfId="0" applyFont="1" applyFill="1"/>
    <xf numFmtId="44" fontId="0" fillId="3" borderId="3" xfId="14" applyFont="1" applyFill="1" applyBorder="1" applyAlignment="1">
      <alignment horizontal="right" vertical="center"/>
    </xf>
    <xf numFmtId="44" fontId="0" fillId="0" borderId="0" xfId="0" applyNumberFormat="1"/>
    <xf numFmtId="14" fontId="9" fillId="0" borderId="0" xfId="9" applyNumberForma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top" wrapText="1"/>
    </xf>
    <xf numFmtId="0" fontId="8" fillId="0" borderId="0" xfId="0" applyFont="1" applyAlignment="1">
      <alignment vertical="top" wrapText="1"/>
    </xf>
    <xf numFmtId="0" fontId="31" fillId="7" borderId="0" xfId="0" applyFont="1" applyFill="1"/>
    <xf numFmtId="0" fontId="32" fillId="0" borderId="0" xfId="1" applyFont="1"/>
    <xf numFmtId="0" fontId="33" fillId="0" borderId="0" xfId="0" applyFont="1"/>
    <xf numFmtId="0" fontId="20" fillId="0" borderId="0" xfId="13" applyFill="1" applyAlignment="1">
      <alignment horizontal="left"/>
    </xf>
    <xf numFmtId="0" fontId="20" fillId="0" borderId="0" xfId="13" applyFill="1" applyAlignment="1">
      <alignment horizontal="center"/>
    </xf>
    <xf numFmtId="0" fontId="20" fillId="0" borderId="0" xfId="13" applyFill="1" applyAlignment="1">
      <alignment horizontal="right"/>
    </xf>
    <xf numFmtId="10" fontId="3" fillId="4" borderId="6" xfId="11" applyNumberFormat="1" applyBorder="1" applyAlignment="1">
      <alignment horizontal="center"/>
    </xf>
    <xf numFmtId="10" fontId="3" fillId="4" borderId="0" xfId="11" applyNumberFormat="1" applyBorder="1" applyAlignment="1">
      <alignment horizontal="center"/>
    </xf>
    <xf numFmtId="0" fontId="3" fillId="4" borderId="4" xfId="11" applyBorder="1" applyAlignment="1">
      <alignment horizontal="center"/>
    </xf>
    <xf numFmtId="0" fontId="3" fillId="4" borderId="5" xfId="11" applyBorder="1" applyAlignment="1">
      <alignment horizontal="center"/>
    </xf>
    <xf numFmtId="0" fontId="11" fillId="0" borderId="0" xfId="6" applyFont="1" applyAlignment="1">
      <alignment vertical="center" wrapText="1"/>
    </xf>
  </cellXfs>
  <cellStyles count="15">
    <cellStyle name="Accent1" xfId="11" builtinId="29"/>
    <cellStyle name="Datum" xfId="10" xr:uid="{037D426F-1140-4480-9D09-C66691CCE675}"/>
    <cellStyle name="Hyperlink" xfId="13" builtinId="8"/>
    <cellStyle name="Komma" xfId="3" builtinId="3"/>
    <cellStyle name="Kop 1 2" xfId="8" xr:uid="{73C4822E-D9B4-419F-81DD-E1ECDDCF13CB}"/>
    <cellStyle name="Kop 3" xfId="5" builtinId="18"/>
    <cellStyle name="Neutraal" xfId="12" builtinId="28"/>
    <cellStyle name="Procent" xfId="4" builtinId="5"/>
    <cellStyle name="Standaard" xfId="0" builtinId="0"/>
    <cellStyle name="Standaard 2" xfId="9" xr:uid="{6B78C8E9-4016-4246-9861-1AF3F532CFDE}"/>
    <cellStyle name="Titel" xfId="1" builtinId="15"/>
    <cellStyle name="Uitvoer" xfId="2" builtinId="21"/>
    <cellStyle name="Valuta" xfId="14" builtinId="4"/>
    <cellStyle name="Verklarende tekst" xfId="6" builtinId="53"/>
    <cellStyle name="zHiddenText" xfId="7" xr:uid="{648CC4DA-6683-45E3-A003-9F1324C9402E}"/>
  </cellStyles>
  <dxfs count="34">
    <dxf>
      <font>
        <color rgb="FF7F7F7F"/>
      </font>
    </dxf>
    <dxf>
      <font>
        <b val="0"/>
        <i/>
        <color theme="0" tint="-0.14996795556505021"/>
      </font>
    </dxf>
    <dxf>
      <font>
        <color theme="0"/>
      </font>
      <fill>
        <patternFill>
          <bgColor theme="0"/>
        </patternFill>
      </fill>
      <border>
        <left/>
        <right/>
        <top/>
        <bottom/>
      </border>
    </dxf>
    <dxf>
      <font>
        <b/>
        <i val="0"/>
      </font>
      <fill>
        <patternFill>
          <bgColor theme="7" tint="0.59996337778862885"/>
        </patternFill>
      </fill>
    </dxf>
    <dxf>
      <font>
        <color theme="0"/>
      </font>
      <fill>
        <patternFill>
          <bgColor theme="0"/>
        </patternFill>
      </fill>
      <border>
        <left/>
        <right/>
        <top style="thin">
          <color auto="1"/>
        </top>
        <bottom/>
      </border>
    </dxf>
    <dxf>
      <font>
        <color theme="0"/>
      </font>
      <fill>
        <patternFill>
          <bgColor theme="0"/>
        </patternFill>
      </fill>
      <border>
        <left/>
        <right/>
        <top/>
        <bottom/>
        <vertical/>
        <horizontal/>
      </border>
    </dxf>
    <dxf>
      <fill>
        <patternFill>
          <bgColor rgb="FFFFCC00"/>
        </patternFill>
      </fill>
    </dxf>
    <dxf>
      <font>
        <color theme="0"/>
      </font>
    </dxf>
    <dxf>
      <fill>
        <patternFill>
          <bgColor rgb="FFFFCC00"/>
        </patternFill>
      </fill>
    </dxf>
    <dxf>
      <fill>
        <patternFill>
          <bgColor rgb="FFFFCC00"/>
        </patternFill>
      </fill>
    </dxf>
    <dxf>
      <fill>
        <patternFill>
          <bgColor rgb="FFFFCC00"/>
        </patternFill>
      </fill>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border>
    </dxf>
    <dxf>
      <font>
        <color theme="0"/>
      </font>
      <fill>
        <patternFill>
          <bgColor theme="0"/>
        </patternFill>
      </fill>
      <border>
        <left/>
        <right/>
        <top/>
        <bottom/>
        <vertical/>
        <horizontal/>
      </border>
    </dxf>
    <dxf>
      <numFmt numFmtId="0" formatCode="General"/>
    </dxf>
    <dxf>
      <numFmt numFmtId="0" formatCode="General"/>
    </dxf>
    <dxf>
      <numFmt numFmtId="0" formatCode="General"/>
      <alignment horizontal="center" vertical="center" textRotation="0" wrapText="1" indent="0" justifyLastLine="0" shrinkToFit="0" readingOrder="0"/>
      <protection locked="1" hidden="0"/>
    </dxf>
    <dxf>
      <fill>
        <patternFill patternType="solid">
          <fgColor theme="8" tint="0.79995117038483843"/>
          <bgColor theme="3" tint="0.79998168889431442"/>
        </patternFill>
      </fill>
    </dxf>
    <dxf>
      <fill>
        <patternFill patternType="solid">
          <fgColor theme="8" tint="0.79995117038483843"/>
          <bgColor theme="3" tint="0.79998168889431442"/>
        </patternFill>
      </fill>
    </dxf>
    <dxf>
      <font>
        <color theme="3" tint="-0.24994659260841701"/>
      </font>
    </dxf>
    <dxf>
      <font>
        <color theme="3" tint="-0.24994659260841701"/>
      </font>
    </dxf>
    <dxf>
      <font>
        <color theme="3" tint="-0.24994659260841701"/>
      </font>
      <border>
        <top style="thin">
          <color theme="3"/>
        </top>
      </border>
    </dxf>
    <dxf>
      <font>
        <color theme="3" tint="-0.24994659260841701"/>
      </font>
      <border>
        <bottom style="thin">
          <color theme="3"/>
        </bottom>
      </border>
    </dxf>
    <dxf>
      <font>
        <color theme="3" tint="-0.24994659260841701"/>
      </font>
      <border>
        <top style="thin">
          <color theme="3"/>
        </top>
        <bottom style="thin">
          <color theme="3"/>
        </bottom>
      </border>
    </dxf>
    <dxf>
      <fill>
        <patternFill patternType="solid">
          <fgColor theme="8" tint="0.79995117038483843"/>
          <bgColor theme="3" tint="0.79998168889431442"/>
        </patternFill>
      </fill>
    </dxf>
    <dxf>
      <fill>
        <patternFill patternType="solid">
          <fgColor theme="8" tint="0.79995117038483843"/>
          <bgColor theme="3" tint="0.79998168889431442"/>
        </patternFill>
      </fill>
    </dxf>
    <dxf>
      <font>
        <color theme="3" tint="-0.24994659260841701"/>
      </font>
    </dxf>
    <dxf>
      <font>
        <color theme="3" tint="-0.24994659260841701"/>
      </font>
    </dxf>
    <dxf>
      <font>
        <color theme="3" tint="-0.24994659260841701"/>
      </font>
      <border>
        <top style="thin">
          <color theme="3"/>
        </top>
      </border>
    </dxf>
    <dxf>
      <font>
        <color theme="3" tint="-0.24994659260841701"/>
      </font>
      <border>
        <bottom style="thin">
          <color theme="3"/>
        </bottom>
      </border>
    </dxf>
    <dxf>
      <font>
        <color theme="3" tint="-0.24994659260841701"/>
      </font>
      <border>
        <top style="thin">
          <color theme="3"/>
        </top>
        <bottom style="thin">
          <color theme="3"/>
        </bottom>
      </border>
    </dxf>
  </dxfs>
  <tableStyles count="2" defaultTableStyle="TableStyleMedium2" defaultPivotStyle="PivotStyleLight16">
    <tableStyle name="Tabelstijl van infographic-tijdlijn" pivot="0" count="7" xr9:uid="{CC4612A4-C5BD-4440-8CBC-1F748EA19B10}">
      <tableStyleElement type="wholeTable" dxfId="33"/>
      <tableStyleElement type="headerRow" dxfId="32"/>
      <tableStyleElement type="totalRow" dxfId="31"/>
      <tableStyleElement type="firstColumn" dxfId="30"/>
      <tableStyleElement type="lastColumn" dxfId="29"/>
      <tableStyleElement type="firstRowStripe" dxfId="28"/>
      <tableStyleElement type="firstColumnStripe" dxfId="27"/>
    </tableStyle>
    <tableStyle name="Tabelstijl van infographic-tijdlijn 2" pivot="0" count="7" xr9:uid="{8894C4F3-4E45-44C0-AC82-78CC75C3C90B}">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s>
  <colors>
    <mruColors>
      <color rgb="FF6BBFA3"/>
      <color rgb="FFF9A503"/>
      <color rgb="FFE40150"/>
      <color rgb="FF0080A3"/>
      <color rgb="FF82449C"/>
      <color rgb="FFFFCC00"/>
      <color rgb="FFB35A17"/>
      <color rgb="FF808080"/>
      <color rgb="FF558E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Inzicht!$B$51</c:f>
          <c:strCache>
            <c:ptCount val="1"/>
            <c:pt idx="0">
              <c:v>Bruto maandsalaris*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Inzicht!$C$40</c:f>
              <c:strCache>
                <c:ptCount val="1"/>
                <c:pt idx="0">
                  <c:v>Huidig</c:v>
                </c:pt>
              </c:strCache>
            </c:strRef>
          </c:tx>
          <c:spPr>
            <a:solidFill>
              <a:srgbClr val="E401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Inzicht!$B$51</c:f>
              <c:strCache>
                <c:ptCount val="1"/>
                <c:pt idx="0">
                  <c:v>Bruto maandsalaris*</c:v>
                </c:pt>
              </c:strCache>
            </c:strRef>
          </c:cat>
          <c:val>
            <c:numRef>
              <c:f>Inzicht!$C$52</c:f>
              <c:numCache>
                <c:formatCode>_ * #,##0_ ;_ * \-#,##0_ ;_ * "-"??_ ;_ @_ </c:formatCode>
                <c:ptCount val="1"/>
                <c:pt idx="0">
                  <c:v>0</c:v>
                </c:pt>
              </c:numCache>
            </c:numRef>
          </c:val>
          <c:extLst>
            <c:ext xmlns:c16="http://schemas.microsoft.com/office/drawing/2014/chart" uri="{C3380CC4-5D6E-409C-BE32-E72D297353CC}">
              <c16:uniqueId val="{00000000-E8AA-40BE-AD42-36D3887D3238}"/>
            </c:ext>
          </c:extLst>
        </c:ser>
        <c:ser>
          <c:idx val="1"/>
          <c:order val="1"/>
          <c:tx>
            <c:strRef>
              <c:f>Inzicht!$D$40</c:f>
              <c:strCache>
                <c:ptCount val="1"/>
                <c:pt idx="0">
                  <c:v>Minder werken zonder deelname aan Generatiepact</c:v>
                </c:pt>
              </c:strCache>
            </c:strRef>
          </c:tx>
          <c:spPr>
            <a:solidFill>
              <a:srgbClr val="82449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Inzicht!$B$51</c:f>
              <c:strCache>
                <c:ptCount val="1"/>
                <c:pt idx="0">
                  <c:v>Bruto maandsalaris*</c:v>
                </c:pt>
              </c:strCache>
            </c:strRef>
          </c:cat>
          <c:val>
            <c:numRef>
              <c:f>Inzicht!$D$52</c:f>
              <c:numCache>
                <c:formatCode>_ * #,##0_ ;_ * \-#,##0_ ;_ * "-"??_ ;_ @_ </c:formatCode>
                <c:ptCount val="1"/>
                <c:pt idx="0">
                  <c:v>0</c:v>
                </c:pt>
              </c:numCache>
            </c:numRef>
          </c:val>
          <c:extLst>
            <c:ext xmlns:c16="http://schemas.microsoft.com/office/drawing/2014/chart" uri="{C3380CC4-5D6E-409C-BE32-E72D297353CC}">
              <c16:uniqueId val="{00000001-E8AA-40BE-AD42-36D3887D3238}"/>
            </c:ext>
          </c:extLst>
        </c:ser>
        <c:ser>
          <c:idx val="2"/>
          <c:order val="2"/>
          <c:tx>
            <c:strRef>
              <c:f>Inzicht!$E$40</c:f>
              <c:strCache>
                <c:ptCount val="1"/>
                <c:pt idx="0">
                  <c:v>Minder werken met deelname aan Generatiepact</c:v>
                </c:pt>
              </c:strCache>
            </c:strRef>
          </c:tx>
          <c:spPr>
            <a:solidFill>
              <a:srgbClr val="0080A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Inzicht!$B$51</c:f>
              <c:strCache>
                <c:ptCount val="1"/>
                <c:pt idx="0">
                  <c:v>Bruto maandsalaris*</c:v>
                </c:pt>
              </c:strCache>
            </c:strRef>
          </c:cat>
          <c:val>
            <c:numRef>
              <c:f>Inzicht!$E$52</c:f>
              <c:numCache>
                <c:formatCode>_ * #,##0_ ;_ * \-#,##0_ ;_ * "-"??_ ;_ @_ </c:formatCode>
                <c:ptCount val="1"/>
                <c:pt idx="0">
                  <c:v>0</c:v>
                </c:pt>
              </c:numCache>
            </c:numRef>
          </c:val>
          <c:extLst>
            <c:ext xmlns:c16="http://schemas.microsoft.com/office/drawing/2014/chart" uri="{C3380CC4-5D6E-409C-BE32-E72D297353CC}">
              <c16:uniqueId val="{00000002-E8AA-40BE-AD42-36D3887D3238}"/>
            </c:ext>
          </c:extLst>
        </c:ser>
        <c:dLbls>
          <c:showLegendKey val="0"/>
          <c:showVal val="0"/>
          <c:showCatName val="0"/>
          <c:showSerName val="0"/>
          <c:showPercent val="0"/>
          <c:showBubbleSize val="0"/>
        </c:dLbls>
        <c:gapWidth val="219"/>
        <c:overlap val="-27"/>
        <c:axId val="1215568992"/>
        <c:axId val="1215569352"/>
        <c:extLst>
          <c:ext xmlns:c15="http://schemas.microsoft.com/office/drawing/2012/chart" uri="{02D57815-91ED-43cb-92C2-25804820EDAC}">
            <c15:filteredBarSeries>
              <c15:ser>
                <c:idx val="3"/>
                <c:order val="3"/>
                <c:spPr>
                  <a:solidFill>
                    <a:schemeClr val="accent4"/>
                  </a:solidFill>
                  <a:ln>
                    <a:noFill/>
                  </a:ln>
                  <a:effectLst/>
                </c:spPr>
                <c:invertIfNegative val="0"/>
                <c:cat>
                  <c:strRef>
                    <c:extLst>
                      <c:ext uri="{02D57815-91ED-43cb-92C2-25804820EDAC}">
                        <c15:formulaRef>
                          <c15:sqref>Inzicht!$B$51</c15:sqref>
                        </c15:formulaRef>
                      </c:ext>
                    </c:extLst>
                    <c:strCache>
                      <c:ptCount val="1"/>
                      <c:pt idx="0">
                        <c:v>Bruto maandsalaris*</c:v>
                      </c:pt>
                    </c:strCache>
                  </c:strRef>
                </c:cat>
                <c:val>
                  <c:numRef>
                    <c:extLst>
                      <c:ext uri="{02D57815-91ED-43cb-92C2-25804820EDAC}">
                        <c15:formulaRef>
                          <c15:sqref>Inzicht!$F$51</c15:sqref>
                        </c15:formulaRef>
                      </c:ext>
                    </c:extLst>
                    <c:numCache>
                      <c:formatCode>General</c:formatCode>
                      <c:ptCount val="1"/>
                    </c:numCache>
                  </c:numRef>
                </c:val>
                <c:extLst>
                  <c:ext xmlns:c16="http://schemas.microsoft.com/office/drawing/2014/chart" uri="{C3380CC4-5D6E-409C-BE32-E72D297353CC}">
                    <c16:uniqueId val="{00000003-E8AA-40BE-AD42-36D3887D3238}"/>
                  </c:ext>
                </c:extLst>
              </c15:ser>
            </c15:filteredBarSeries>
          </c:ext>
        </c:extLst>
      </c:barChart>
      <c:catAx>
        <c:axId val="121556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5569352"/>
        <c:crosses val="autoZero"/>
        <c:auto val="1"/>
        <c:lblAlgn val="ctr"/>
        <c:lblOffset val="100"/>
        <c:noMultiLvlLbl val="0"/>
      </c:catAx>
      <c:valAx>
        <c:axId val="12155693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556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enu!A1"/><Relationship Id="rId13" Type="http://schemas.openxmlformats.org/officeDocument/2006/relationships/image" Target="../media/image8.png"/><Relationship Id="rId18" Type="http://schemas.openxmlformats.org/officeDocument/2006/relationships/image" Target="../media/image11.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7.svg"/><Relationship Id="rId17" Type="http://schemas.openxmlformats.org/officeDocument/2006/relationships/hyperlink" Target="https://www.fbz.nl/" TargetMode="External"/><Relationship Id="rId2" Type="http://schemas.openxmlformats.org/officeDocument/2006/relationships/hyperlink" Target="https://www.nu91.nl/" TargetMode="External"/><Relationship Id="rId16" Type="http://schemas.openxmlformats.org/officeDocument/2006/relationships/image" Target="../media/image10.png"/><Relationship Id="rId1" Type="http://schemas.openxmlformats.org/officeDocument/2006/relationships/image" Target="../media/image1.jpeg"/><Relationship Id="rId6" Type="http://schemas.openxmlformats.org/officeDocument/2006/relationships/hyperlink" Target="https://www.denederlandseggz.nl/" TargetMode="External"/><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hyperlink" Target="https://www.oofggz.nl/goedwerkenindeggz/" TargetMode="External"/><Relationship Id="rId10" Type="http://schemas.openxmlformats.org/officeDocument/2006/relationships/image" Target="../media/image5.jpeg"/><Relationship Id="rId4" Type="http://schemas.openxmlformats.org/officeDocument/2006/relationships/hyperlink" Target="https://www.fnv.nl/cao-sector/zorg-welzijn" TargetMode="External"/><Relationship Id="rId9" Type="http://schemas.openxmlformats.org/officeDocument/2006/relationships/hyperlink" Target="https://www.cnvconnectief.nl/zorg-en-welzijn/zorg/?_ga=2.165046521.776447035.1669889394-1964293746.1669889394&amp;_gl=1*trx5s3*_ga*MTk2NDI5Mzc0Ni4xNjY5ODg5Mzk0*_ga_Z0Z11M64VR*MTY2OTg4OTM5My4xLjEuMTY2OTg4OTQwNy4wLjAuMA.." TargetMode="External"/><Relationship Id="rId14" Type="http://schemas.openxmlformats.org/officeDocument/2006/relationships/image" Target="../media/image9.svg"/></Relationships>
</file>

<file path=xl/drawings/_rels/drawing2.xml.rels><?xml version="1.0" encoding="UTF-8" standalone="yes"?>
<Relationships xmlns="http://schemas.openxmlformats.org/package/2006/relationships"><Relationship Id="rId8" Type="http://schemas.openxmlformats.org/officeDocument/2006/relationships/hyperlink" Target="#'Nuttige links'!A1"/><Relationship Id="rId13" Type="http://schemas.openxmlformats.org/officeDocument/2006/relationships/image" Target="../media/image18.svg"/><Relationship Id="rId3" Type="http://schemas.openxmlformats.org/officeDocument/2006/relationships/image" Target="../media/image10.png"/><Relationship Id="rId7" Type="http://schemas.openxmlformats.org/officeDocument/2006/relationships/image" Target="../media/image14.svg"/><Relationship Id="rId12" Type="http://schemas.openxmlformats.org/officeDocument/2006/relationships/image" Target="../media/image17.png"/><Relationship Id="rId2" Type="http://schemas.openxmlformats.org/officeDocument/2006/relationships/hyperlink" Target="https://www.oofggz.nl/goedwerkenindeggz/" TargetMode="External"/><Relationship Id="rId1" Type="http://schemas.openxmlformats.org/officeDocument/2006/relationships/image" Target="../media/image12.jpeg"/><Relationship Id="rId6" Type="http://schemas.openxmlformats.org/officeDocument/2006/relationships/image" Target="../media/image13.png"/><Relationship Id="rId11" Type="http://schemas.openxmlformats.org/officeDocument/2006/relationships/hyperlink" Target="#'De regeling'!A1"/><Relationship Id="rId5" Type="http://schemas.openxmlformats.org/officeDocument/2006/relationships/hyperlink" Target="#'Gevolgen van deelname'!A1"/><Relationship Id="rId10" Type="http://schemas.openxmlformats.org/officeDocument/2006/relationships/image" Target="../media/image16.svg"/><Relationship Id="rId4" Type="http://schemas.openxmlformats.org/officeDocument/2006/relationships/hyperlink" Target="#'Kan ik deelnemen '!A1"/><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9.png"/><Relationship Id="rId7" Type="http://schemas.openxmlformats.org/officeDocument/2006/relationships/hyperlink" Target="#Home!A1"/><Relationship Id="rId12" Type="http://schemas.openxmlformats.org/officeDocument/2006/relationships/hyperlink" Target="#'Gevolgen van deelname'!A1"/><Relationship Id="rId2" Type="http://schemas.openxmlformats.org/officeDocument/2006/relationships/hyperlink" Target="#'1. Start'!A1"/><Relationship Id="rId1" Type="http://schemas.openxmlformats.org/officeDocument/2006/relationships/hyperlink" Target="#'3. Gevolgen van deelname'!A1"/><Relationship Id="rId6" Type="http://schemas.openxmlformats.org/officeDocument/2006/relationships/image" Target="../media/image21.svg"/><Relationship Id="rId11" Type="http://schemas.openxmlformats.org/officeDocument/2006/relationships/image" Target="../media/image10.png"/><Relationship Id="rId5" Type="http://schemas.openxmlformats.org/officeDocument/2006/relationships/image" Target="../media/image20.png"/><Relationship Id="rId10" Type="http://schemas.openxmlformats.org/officeDocument/2006/relationships/hyperlink" Target="https://www.oofggz.nl/goedwerkenindeggz/" TargetMode="External"/><Relationship Id="rId4" Type="http://schemas.openxmlformats.org/officeDocument/2006/relationships/hyperlink" Target="#Menu!A1"/><Relationship Id="rId9" Type="http://schemas.openxmlformats.org/officeDocument/2006/relationships/image" Target="../media/image23.svg"/></Relationships>
</file>

<file path=xl/drawings/_rels/drawing4.xml.rels><?xml version="1.0" encoding="UTF-8" standalone="yes"?>
<Relationships xmlns="http://schemas.openxmlformats.org/package/2006/relationships"><Relationship Id="rId8" Type="http://schemas.openxmlformats.org/officeDocument/2006/relationships/hyperlink" Target="#'Gevolgen van deelname'!A1"/><Relationship Id="rId3" Type="http://schemas.openxmlformats.org/officeDocument/2006/relationships/hyperlink" Target="https://www.oofggz.nl/goedwerkenindeggz/" TargetMode="External"/><Relationship Id="rId7" Type="http://schemas.openxmlformats.org/officeDocument/2006/relationships/image" Target="../media/image26.svg"/><Relationship Id="rId2" Type="http://schemas.openxmlformats.org/officeDocument/2006/relationships/image" Target="../media/image24.jpeg"/><Relationship Id="rId1" Type="http://schemas.openxmlformats.org/officeDocument/2006/relationships/hyperlink" Target="#'Kan ik deelnemen '!A1"/><Relationship Id="rId6" Type="http://schemas.openxmlformats.org/officeDocument/2006/relationships/image" Target="../media/image25.png"/><Relationship Id="rId11" Type="http://schemas.openxmlformats.org/officeDocument/2006/relationships/hyperlink" Target="#'De regeling'!A1"/><Relationship Id="rId5" Type="http://schemas.openxmlformats.org/officeDocument/2006/relationships/hyperlink" Target="#Menu!A1"/><Relationship Id="rId10" Type="http://schemas.openxmlformats.org/officeDocument/2006/relationships/image" Target="../media/image28.svg"/><Relationship Id="rId4" Type="http://schemas.openxmlformats.org/officeDocument/2006/relationships/image" Target="../media/image10.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svg"/><Relationship Id="rId3" Type="http://schemas.openxmlformats.org/officeDocument/2006/relationships/image" Target="../media/image29.jpeg"/><Relationship Id="rId7" Type="http://schemas.openxmlformats.org/officeDocument/2006/relationships/image" Target="../media/image20.png"/><Relationship Id="rId2" Type="http://schemas.openxmlformats.org/officeDocument/2006/relationships/hyperlink" Target="#'Gevolgen van deelname'!A1"/><Relationship Id="rId1" Type="http://schemas.openxmlformats.org/officeDocument/2006/relationships/hyperlink" Target="#'Mijn gegevens'!A1"/><Relationship Id="rId6" Type="http://schemas.openxmlformats.org/officeDocument/2006/relationships/hyperlink" Target="#Menu!A1"/><Relationship Id="rId11" Type="http://schemas.openxmlformats.org/officeDocument/2006/relationships/image" Target="../media/image23.svg"/><Relationship Id="rId5" Type="http://schemas.openxmlformats.org/officeDocument/2006/relationships/image" Target="../media/image10.png"/><Relationship Id="rId10" Type="http://schemas.openxmlformats.org/officeDocument/2006/relationships/image" Target="../media/image22.png"/><Relationship Id="rId4" Type="http://schemas.openxmlformats.org/officeDocument/2006/relationships/hyperlink" Target="https://www.oofggz.nl/goedwerkenindeggz/" TargetMode="External"/><Relationship Id="rId9" Type="http://schemas.openxmlformats.org/officeDocument/2006/relationships/hyperlink" Target="#Home!A1"/></Relationships>
</file>

<file path=xl/drawings/_rels/drawing6.xml.rels><?xml version="1.0" encoding="UTF-8" standalone="yes"?>
<Relationships xmlns="http://schemas.openxmlformats.org/package/2006/relationships"><Relationship Id="rId8" Type="http://schemas.openxmlformats.org/officeDocument/2006/relationships/image" Target="../media/image33.svg"/><Relationship Id="rId3" Type="http://schemas.openxmlformats.org/officeDocument/2006/relationships/image" Target="../media/image31.jpeg"/><Relationship Id="rId7" Type="http://schemas.openxmlformats.org/officeDocument/2006/relationships/image" Target="../media/image32.png"/><Relationship Id="rId2" Type="http://schemas.openxmlformats.org/officeDocument/2006/relationships/hyperlink" Target="#'Kan ik deelnemen '!A1"/><Relationship Id="rId1" Type="http://schemas.openxmlformats.org/officeDocument/2006/relationships/hyperlink" Target="#Inzicht!A1"/><Relationship Id="rId6" Type="http://schemas.openxmlformats.org/officeDocument/2006/relationships/hyperlink" Target="#Menu!A1"/><Relationship Id="rId11" Type="http://schemas.openxmlformats.org/officeDocument/2006/relationships/image" Target="../media/image35.svg"/><Relationship Id="rId5" Type="http://schemas.openxmlformats.org/officeDocument/2006/relationships/image" Target="../media/image10.png"/><Relationship Id="rId10" Type="http://schemas.openxmlformats.org/officeDocument/2006/relationships/image" Target="../media/image34.png"/><Relationship Id="rId4" Type="http://schemas.openxmlformats.org/officeDocument/2006/relationships/hyperlink" Target="https://www.oofggz.nl/goedwerkenindeggz/" TargetMode="External"/><Relationship Id="rId9" Type="http://schemas.openxmlformats.org/officeDocument/2006/relationships/hyperlink" Target="#Home!A1"/></Relationships>
</file>

<file path=xl/drawings/_rels/drawing7.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hyperlink" Target="#'Mijn gegevens'!A1"/><Relationship Id="rId7" Type="http://schemas.openxmlformats.org/officeDocument/2006/relationships/image" Target="../media/image38.svg"/><Relationship Id="rId12" Type="http://schemas.openxmlformats.org/officeDocument/2006/relationships/image" Target="../media/image10.png"/><Relationship Id="rId2" Type="http://schemas.openxmlformats.org/officeDocument/2006/relationships/hyperlink" Target="#'Mijn tijdslijn'!A1"/><Relationship Id="rId1" Type="http://schemas.openxmlformats.org/officeDocument/2006/relationships/image" Target="../media/image36.jpeg"/><Relationship Id="rId6" Type="http://schemas.openxmlformats.org/officeDocument/2006/relationships/image" Target="../media/image37.png"/><Relationship Id="rId11" Type="http://schemas.openxmlformats.org/officeDocument/2006/relationships/hyperlink" Target="https://www.oofggz.nl/goedwerkenindeggz/" TargetMode="External"/><Relationship Id="rId5" Type="http://schemas.openxmlformats.org/officeDocument/2006/relationships/hyperlink" Target="#Menu!A1"/><Relationship Id="rId10" Type="http://schemas.openxmlformats.org/officeDocument/2006/relationships/image" Target="../media/image40.svg"/><Relationship Id="rId4" Type="http://schemas.openxmlformats.org/officeDocument/2006/relationships/chart" Target="../charts/chart1.xml"/><Relationship Id="rId9" Type="http://schemas.openxmlformats.org/officeDocument/2006/relationships/image" Target="../media/image39.png"/></Relationships>
</file>

<file path=xl/drawings/_rels/drawing8.xml.rels><?xml version="1.0" encoding="UTF-8" standalone="yes"?>
<Relationships xmlns="http://schemas.openxmlformats.org/package/2006/relationships"><Relationship Id="rId1" Type="http://schemas.openxmlformats.org/officeDocument/2006/relationships/hyperlink" Target="#Inzicht!A1"/></Relationships>
</file>

<file path=xl/drawings/_rels/drawing9.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image" Target="../media/image42.png"/><Relationship Id="rId7" Type="http://schemas.openxmlformats.org/officeDocument/2006/relationships/image" Target="../media/image43.svg"/><Relationship Id="rId12" Type="http://schemas.openxmlformats.org/officeDocument/2006/relationships/image" Target="../media/image10.png"/><Relationship Id="rId2" Type="http://schemas.openxmlformats.org/officeDocument/2006/relationships/hyperlink" Target="https://apps.apple.com/nl/app/cao-ggz/id1099598304" TargetMode="External"/><Relationship Id="rId1" Type="http://schemas.openxmlformats.org/officeDocument/2006/relationships/image" Target="../media/image41.jpg"/><Relationship Id="rId6" Type="http://schemas.openxmlformats.org/officeDocument/2006/relationships/image" Target="../media/image22.png"/><Relationship Id="rId11" Type="http://schemas.openxmlformats.org/officeDocument/2006/relationships/hyperlink" Target="https://www.oofggz.nl/goedwerkenindeggz/" TargetMode="External"/><Relationship Id="rId5" Type="http://schemas.openxmlformats.org/officeDocument/2006/relationships/hyperlink" Target="#Home!A1"/><Relationship Id="rId10" Type="http://schemas.openxmlformats.org/officeDocument/2006/relationships/image" Target="../media/image44.svg"/><Relationship Id="rId4" Type="http://schemas.openxmlformats.org/officeDocument/2006/relationships/hyperlink" Target="https://play.google.com/store/apps/details?id=com.oofggz.android.caoggz&amp;hl=en" TargetMode="External"/><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152400</xdr:rowOff>
    </xdr:from>
    <xdr:ext cx="7830040" cy="1933575"/>
    <xdr:pic>
      <xdr:nvPicPr>
        <xdr:cNvPr id="2" name="Afbeelding 1" descr="Oudere vrouw met haar familie">
          <a:extLst>
            <a:ext uri="{FF2B5EF4-FFF2-40B4-BE49-F238E27FC236}">
              <a16:creationId xmlns:a16="http://schemas.microsoft.com/office/drawing/2014/main" id="{A4F3E0C3-64D0-4DCA-9914-EA3FA4B606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122" b="32873"/>
        <a:stretch/>
      </xdr:blipFill>
      <xdr:spPr>
        <a:xfrm>
          <a:off x="361950" y="152400"/>
          <a:ext cx="7830040" cy="1933575"/>
        </a:xfrm>
        <a:prstGeom prst="rect">
          <a:avLst/>
        </a:prstGeom>
      </xdr:spPr>
    </xdr:pic>
    <xdr:clientData/>
  </xdr:oneCellAnchor>
  <xdr:absoluteAnchor>
    <xdr:pos x="8853498" y="2987666"/>
    <xdr:ext cx="2478461" cy="704009"/>
    <xdr:grpSp>
      <xdr:nvGrpSpPr>
        <xdr:cNvPr id="3" name="Groep 2">
          <a:hlinkClick xmlns:r="http://schemas.openxmlformats.org/officeDocument/2006/relationships" r:id="rId2" tooltip="https://www.nu91.nl/"/>
          <a:extLst>
            <a:ext uri="{FF2B5EF4-FFF2-40B4-BE49-F238E27FC236}">
              <a16:creationId xmlns:a16="http://schemas.microsoft.com/office/drawing/2014/main" id="{D14E8A50-BDFC-48ED-8A90-E135B2494544}"/>
            </a:ext>
          </a:extLst>
        </xdr:cNvPr>
        <xdr:cNvGrpSpPr/>
      </xdr:nvGrpSpPr>
      <xdr:grpSpPr>
        <a:xfrm>
          <a:off x="8853498" y="2987666"/>
          <a:ext cx="2478461" cy="704009"/>
          <a:chOff x="1201271" y="824753"/>
          <a:chExt cx="2483223" cy="699247"/>
        </a:xfrm>
      </xdr:grpSpPr>
      <xdr:sp macro="" textlink="">
        <xdr:nvSpPr>
          <xdr:cNvPr id="4" name="Rechthoek: afgeronde hoeken 3">
            <a:extLst>
              <a:ext uri="{FF2B5EF4-FFF2-40B4-BE49-F238E27FC236}">
                <a16:creationId xmlns:a16="http://schemas.microsoft.com/office/drawing/2014/main" id="{F34B2457-BC14-CE5D-1E3F-7B682D38B9E3}"/>
              </a:ext>
            </a:extLst>
          </xdr:cNvPr>
          <xdr:cNvSpPr/>
        </xdr:nvSpPr>
        <xdr:spPr>
          <a:xfrm>
            <a:off x="1201271" y="824753"/>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5" name="Afbeelding 4">
            <a:extLst>
              <a:ext uri="{FF2B5EF4-FFF2-40B4-BE49-F238E27FC236}">
                <a16:creationId xmlns:a16="http://schemas.microsoft.com/office/drawing/2014/main" id="{89928D2A-D6FB-2D12-ACBB-9C43DA8EA9EE}"/>
              </a:ext>
            </a:extLst>
          </xdr:cNvPr>
          <xdr:cNvPicPr>
            <a:picLocks noChangeAspect="1"/>
          </xdr:cNvPicPr>
        </xdr:nvPicPr>
        <xdr:blipFill>
          <a:blip xmlns:r="http://schemas.openxmlformats.org/officeDocument/2006/relationships" r:embed="rId3"/>
          <a:stretch>
            <a:fillRect/>
          </a:stretch>
        </xdr:blipFill>
        <xdr:spPr>
          <a:xfrm>
            <a:off x="1897998" y="1019106"/>
            <a:ext cx="1024497" cy="327839"/>
          </a:xfrm>
          <a:prstGeom prst="rect">
            <a:avLst/>
          </a:prstGeom>
          <a:ln>
            <a:solidFill>
              <a:schemeClr val="bg1"/>
            </a:solidFill>
          </a:ln>
        </xdr:spPr>
      </xdr:pic>
    </xdr:grpSp>
    <xdr:clientData/>
  </xdr:absoluteAnchor>
  <xdr:absoluteAnchor>
    <xdr:pos x="8858255" y="1238234"/>
    <xdr:ext cx="2478461" cy="704009"/>
    <xdr:grpSp>
      <xdr:nvGrpSpPr>
        <xdr:cNvPr id="9" name="Groep 8">
          <a:hlinkClick xmlns:r="http://schemas.openxmlformats.org/officeDocument/2006/relationships" r:id="rId4" tooltip="https://www.fnv.nl/cao-sector/zorg-welzijn"/>
          <a:extLst>
            <a:ext uri="{FF2B5EF4-FFF2-40B4-BE49-F238E27FC236}">
              <a16:creationId xmlns:a16="http://schemas.microsoft.com/office/drawing/2014/main" id="{227A0FD7-2811-4D90-A192-5A11F4E5D99C}"/>
            </a:ext>
          </a:extLst>
        </xdr:cNvPr>
        <xdr:cNvGrpSpPr/>
      </xdr:nvGrpSpPr>
      <xdr:grpSpPr>
        <a:xfrm>
          <a:off x="8858255" y="1238234"/>
          <a:ext cx="2478461" cy="704009"/>
          <a:chOff x="1168632" y="3546801"/>
          <a:chExt cx="2483223" cy="699247"/>
        </a:xfrm>
      </xdr:grpSpPr>
      <xdr:sp macro="" textlink="">
        <xdr:nvSpPr>
          <xdr:cNvPr id="10" name="Rechthoek: afgeronde hoeken 9">
            <a:extLst>
              <a:ext uri="{FF2B5EF4-FFF2-40B4-BE49-F238E27FC236}">
                <a16:creationId xmlns:a16="http://schemas.microsoft.com/office/drawing/2014/main" id="{17FDA4BE-B200-9973-22FF-B01FBD729917}"/>
              </a:ext>
            </a:extLst>
          </xdr:cNvPr>
          <xdr:cNvSpPr/>
        </xdr:nvSpPr>
        <xdr:spPr>
          <a:xfrm>
            <a:off x="1168632" y="3546801"/>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11" name="Picture 4" descr="Zoek je HRM-software in de branche zorg &amp; welzijn? - Digitale ...">
            <a:extLst>
              <a:ext uri="{FF2B5EF4-FFF2-40B4-BE49-F238E27FC236}">
                <a16:creationId xmlns:a16="http://schemas.microsoft.com/office/drawing/2014/main" id="{BD948838-BC5C-58DC-AC03-C7B7306EE41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91265" y="3652423"/>
            <a:ext cx="1719834" cy="488002"/>
          </a:xfrm>
          <a:prstGeom prst="rect">
            <a:avLst/>
          </a:prstGeom>
          <a:noFill/>
          <a:extLst>
            <a:ext uri="{909E8E84-426E-40DD-AFC4-6F175D3DCCD1}">
              <a14:hiddenFill xmlns:a14="http://schemas.microsoft.com/office/drawing/2010/main">
                <a:solidFill>
                  <a:srgbClr val="FFFFFF"/>
                </a:solidFill>
              </a14:hiddenFill>
            </a:ext>
          </a:extLst>
        </xdr:spPr>
      </xdr:pic>
    </xdr:grpSp>
    <xdr:clientData/>
  </xdr:absoluteAnchor>
  <xdr:absoluteAnchor>
    <xdr:pos x="8858250" y="4723903"/>
    <xdr:ext cx="2478461" cy="704009"/>
    <xdr:grpSp>
      <xdr:nvGrpSpPr>
        <xdr:cNvPr id="15" name="Groep 14">
          <a:hlinkClick xmlns:r="http://schemas.openxmlformats.org/officeDocument/2006/relationships" r:id="rId6" tooltip="https://www.denederlandseggz.nl/"/>
          <a:extLst>
            <a:ext uri="{FF2B5EF4-FFF2-40B4-BE49-F238E27FC236}">
              <a16:creationId xmlns:a16="http://schemas.microsoft.com/office/drawing/2014/main" id="{CD29C3B1-9041-41B5-86B1-606D4A9704B3}"/>
            </a:ext>
          </a:extLst>
        </xdr:cNvPr>
        <xdr:cNvGrpSpPr/>
      </xdr:nvGrpSpPr>
      <xdr:grpSpPr>
        <a:xfrm>
          <a:off x="8858250" y="4723903"/>
          <a:ext cx="2478461" cy="704009"/>
          <a:chOff x="1167369" y="5533743"/>
          <a:chExt cx="2483223" cy="699247"/>
        </a:xfrm>
      </xdr:grpSpPr>
      <xdr:sp macro="" textlink="">
        <xdr:nvSpPr>
          <xdr:cNvPr id="16" name="Rechthoek: afgeronde hoeken 15">
            <a:extLst>
              <a:ext uri="{FF2B5EF4-FFF2-40B4-BE49-F238E27FC236}">
                <a16:creationId xmlns:a16="http://schemas.microsoft.com/office/drawing/2014/main" id="{F296C3D5-54D6-DE29-6744-C0F48C264CCF}"/>
              </a:ext>
            </a:extLst>
          </xdr:cNvPr>
          <xdr:cNvSpPr/>
        </xdr:nvSpPr>
        <xdr:spPr>
          <a:xfrm>
            <a:off x="1167369" y="5533743"/>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17" name="Picture 8" descr="Partners van GGZ Ecademy voor ggz instellingen | GGZ Ecademy">
            <a:extLst>
              <a:ext uri="{FF2B5EF4-FFF2-40B4-BE49-F238E27FC236}">
                <a16:creationId xmlns:a16="http://schemas.microsoft.com/office/drawing/2014/main" id="{1950A0C3-29E4-B1FE-E2FE-266DDF485ED3}"/>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1989" b="12728"/>
          <a:stretch/>
        </xdr:blipFill>
        <xdr:spPr bwMode="auto">
          <a:xfrm>
            <a:off x="1528513" y="5566377"/>
            <a:ext cx="1588995" cy="598117"/>
          </a:xfrm>
          <a:prstGeom prst="rect">
            <a:avLst/>
          </a:prstGeom>
          <a:noFill/>
          <a:extLst>
            <a:ext uri="{909E8E84-426E-40DD-AFC4-6F175D3DCCD1}">
              <a14:hiddenFill xmlns:a14="http://schemas.microsoft.com/office/drawing/2010/main">
                <a:solidFill>
                  <a:srgbClr val="FFFFFF"/>
                </a:solidFill>
              </a14:hiddenFill>
            </a:ext>
          </a:extLst>
        </xdr:spPr>
      </xdr:pic>
    </xdr:grpSp>
    <xdr:clientData/>
  </xdr:absoluteAnchor>
  <xdr:twoCellAnchor>
    <xdr:from>
      <xdr:col>1</xdr:col>
      <xdr:colOff>28256</xdr:colOff>
      <xdr:row>60</xdr:row>
      <xdr:rowOff>31749</xdr:rowOff>
    </xdr:from>
    <xdr:to>
      <xdr:col>13</xdr:col>
      <xdr:colOff>387349</xdr:colOff>
      <xdr:row>62</xdr:row>
      <xdr:rowOff>29799</xdr:rowOff>
    </xdr:to>
    <xdr:sp macro="" textlink="">
      <xdr:nvSpPr>
        <xdr:cNvPr id="50" name="Rechthoek: afgeronde hoeken 17">
          <a:hlinkClick xmlns:r="http://schemas.openxmlformats.org/officeDocument/2006/relationships" r:id="rId8"/>
          <a:extLst>
            <a:ext uri="{FF2B5EF4-FFF2-40B4-BE49-F238E27FC236}">
              <a16:creationId xmlns:a16="http://schemas.microsoft.com/office/drawing/2014/main" id="{FDE242D2-63E0-4D89-950C-55B6A47C1197}"/>
            </a:ext>
          </a:extLst>
        </xdr:cNvPr>
        <xdr:cNvSpPr/>
      </xdr:nvSpPr>
      <xdr:spPr>
        <a:xfrm>
          <a:off x="441006" y="11626849"/>
          <a:ext cx="7750493" cy="366350"/>
        </a:xfrm>
        <a:prstGeom prst="roundRect">
          <a:avLst>
            <a:gd name="adj" fmla="val 104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START</a:t>
          </a:r>
        </a:p>
      </xdr:txBody>
    </xdr:sp>
    <xdr:clientData/>
  </xdr:twoCellAnchor>
  <xdr:absoluteAnchor>
    <xdr:pos x="8855080" y="3860466"/>
    <xdr:ext cx="2478461" cy="704009"/>
    <xdr:grpSp>
      <xdr:nvGrpSpPr>
        <xdr:cNvPr id="19" name="Groep 18">
          <a:hlinkClick xmlns:r="http://schemas.openxmlformats.org/officeDocument/2006/relationships" r:id="rId9" tooltip="CNV Zorg en Welzijn"/>
          <a:extLst>
            <a:ext uri="{FF2B5EF4-FFF2-40B4-BE49-F238E27FC236}">
              <a16:creationId xmlns:a16="http://schemas.microsoft.com/office/drawing/2014/main" id="{CCAF368E-5B04-439C-B72F-FC07EAAB8FFD}"/>
            </a:ext>
          </a:extLst>
        </xdr:cNvPr>
        <xdr:cNvGrpSpPr/>
      </xdr:nvGrpSpPr>
      <xdr:grpSpPr>
        <a:xfrm>
          <a:off x="8855080" y="3860466"/>
          <a:ext cx="2478461" cy="704009"/>
          <a:chOff x="1168634" y="2611953"/>
          <a:chExt cx="2483223" cy="699247"/>
        </a:xfrm>
      </xdr:grpSpPr>
      <xdr:sp macro="" textlink="">
        <xdr:nvSpPr>
          <xdr:cNvPr id="20" name="Rechthoek: afgeronde hoeken 19">
            <a:extLst>
              <a:ext uri="{FF2B5EF4-FFF2-40B4-BE49-F238E27FC236}">
                <a16:creationId xmlns:a16="http://schemas.microsoft.com/office/drawing/2014/main" id="{434E0028-3F17-3E11-6DDD-7C5A3CCF2FFF}"/>
              </a:ext>
            </a:extLst>
          </xdr:cNvPr>
          <xdr:cNvSpPr/>
        </xdr:nvSpPr>
        <xdr:spPr>
          <a:xfrm>
            <a:off x="1168634" y="2611953"/>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21" name="Picture 6" descr="Easydus">
            <a:extLst>
              <a:ext uri="{FF2B5EF4-FFF2-40B4-BE49-F238E27FC236}">
                <a16:creationId xmlns:a16="http://schemas.microsoft.com/office/drawing/2014/main" id="{D1C0876C-F506-ECFF-7318-7461D7A711A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25935" y="2648406"/>
            <a:ext cx="1568619" cy="626339"/>
          </a:xfrm>
          <a:prstGeom prst="rect">
            <a:avLst/>
          </a:prstGeom>
          <a:noFill/>
          <a:extLst>
            <a:ext uri="{909E8E84-426E-40DD-AFC4-6F175D3DCCD1}">
              <a14:hiddenFill xmlns:a14="http://schemas.microsoft.com/office/drawing/2010/main">
                <a:solidFill>
                  <a:srgbClr val="FFFFFF"/>
                </a:solidFill>
              </a14:hiddenFill>
            </a:ext>
          </a:extLst>
        </xdr:spPr>
      </xdr:pic>
    </xdr:grpSp>
    <xdr:clientData/>
  </xdr:absoluteAnchor>
  <xdr:oneCellAnchor>
    <xdr:from>
      <xdr:col>1</xdr:col>
      <xdr:colOff>52388</xdr:colOff>
      <xdr:row>1</xdr:row>
      <xdr:rowOff>200025</xdr:rowOff>
    </xdr:from>
    <xdr:ext cx="428625" cy="428625"/>
    <xdr:pic>
      <xdr:nvPicPr>
        <xdr:cNvPr id="22" name="Graphic 21" descr="Pictogram hamburgermenu met effen opvulling">
          <a:hlinkClick xmlns:r="http://schemas.openxmlformats.org/officeDocument/2006/relationships" r:id="rId8" tooltip="Menu"/>
          <a:extLst>
            <a:ext uri="{FF2B5EF4-FFF2-40B4-BE49-F238E27FC236}">
              <a16:creationId xmlns:a16="http://schemas.microsoft.com/office/drawing/2014/main" id="{678DA5A2-FEB0-4DC0-ACBF-5A97263C412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85775" y="381000"/>
          <a:ext cx="428625" cy="428625"/>
        </a:xfrm>
        <a:prstGeom prst="rect">
          <a:avLst/>
        </a:prstGeom>
      </xdr:spPr>
    </xdr:pic>
    <xdr:clientData/>
  </xdr:oneCellAnchor>
  <xdr:twoCellAnchor>
    <xdr:from>
      <xdr:col>0</xdr:col>
      <xdr:colOff>419416</xdr:colOff>
      <xdr:row>51</xdr:row>
      <xdr:rowOff>38414</xdr:rowOff>
    </xdr:from>
    <xdr:to>
      <xdr:col>13</xdr:col>
      <xdr:colOff>326073</xdr:colOff>
      <xdr:row>59</xdr:row>
      <xdr:rowOff>56837</xdr:rowOff>
    </xdr:to>
    <xdr:grpSp>
      <xdr:nvGrpSpPr>
        <xdr:cNvPr id="55" name="Groep 22">
          <a:extLst>
            <a:ext uri="{FF2B5EF4-FFF2-40B4-BE49-F238E27FC236}">
              <a16:creationId xmlns:a16="http://schemas.microsoft.com/office/drawing/2014/main" id="{BDE69ABB-20AF-4F0F-99D5-CE0AB1667E06}"/>
            </a:ext>
          </a:extLst>
        </xdr:cNvPr>
        <xdr:cNvGrpSpPr/>
      </xdr:nvGrpSpPr>
      <xdr:grpSpPr>
        <a:xfrm>
          <a:off x="419416" y="9772964"/>
          <a:ext cx="8050532" cy="1499561"/>
          <a:chOff x="-8881425" y="5098899"/>
          <a:chExt cx="9679052" cy="1185990"/>
        </a:xfrm>
      </xdr:grpSpPr>
      <xdr:sp macro="" textlink="">
        <xdr:nvSpPr>
          <xdr:cNvPr id="56" name="Rechthoek: met één afgeschuinde hoek 23">
            <a:extLst>
              <a:ext uri="{FF2B5EF4-FFF2-40B4-BE49-F238E27FC236}">
                <a16:creationId xmlns:a16="http://schemas.microsoft.com/office/drawing/2014/main" id="{6FC61A44-BF71-55AD-5F80-8B8F26B51413}"/>
              </a:ext>
            </a:extLst>
          </xdr:cNvPr>
          <xdr:cNvSpPr/>
        </xdr:nvSpPr>
        <xdr:spPr>
          <a:xfrm flipH="1">
            <a:off x="-8881425" y="5098899"/>
            <a:ext cx="9679052" cy="1185990"/>
          </a:xfrm>
          <a:prstGeom prst="snip1Rect">
            <a:avLst/>
          </a:prstGeom>
          <a:solidFill>
            <a:sysClr val="window" lastClr="FFFFFF"/>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1"/>
            <a:endParaRPr lang="nl-NL" sz="900" b="1">
              <a:solidFill>
                <a:sysClr val="windowText" lastClr="000000"/>
              </a:solidFill>
              <a:effectLst/>
              <a:latin typeface="+mn-lt"/>
              <a:ea typeface="+mn-ea"/>
              <a:cs typeface="+mn-cs"/>
            </a:endParaRPr>
          </a:p>
          <a:p>
            <a:pPr lvl="1"/>
            <a:r>
              <a:rPr lang="nl-NL" sz="900" b="1">
                <a:solidFill>
                  <a:sysClr val="windowText" lastClr="000000"/>
                </a:solidFill>
                <a:effectLst/>
                <a:latin typeface="+mn-lt"/>
                <a:ea typeface="+mn-ea"/>
                <a:cs typeface="+mn-cs"/>
              </a:rPr>
              <a:t>Disclaimer</a:t>
            </a:r>
          </a:p>
          <a:p>
            <a:endParaRPr lang="nl-NL" sz="900">
              <a:solidFill>
                <a:sysClr val="windowText" lastClr="000000"/>
              </a:solidFill>
              <a:effectLst/>
            </a:endParaRPr>
          </a:p>
          <a:p>
            <a:r>
              <a:rPr lang="nl-NL" sz="900" b="0" i="1">
                <a:solidFill>
                  <a:sysClr val="windowText" lastClr="000000"/>
                </a:solidFill>
                <a:effectLst/>
                <a:latin typeface="+mn-lt"/>
                <a:ea typeface="+mn-ea"/>
                <a:cs typeface="+mn-cs"/>
              </a:rPr>
              <a:t>Met behulp van deze rekenhulp </a:t>
            </a:r>
            <a:r>
              <a:rPr lang="nl-NL" sz="900" b="0" i="1" baseline="0">
                <a:solidFill>
                  <a:sysClr val="windowText" lastClr="000000"/>
                </a:solidFill>
                <a:effectLst/>
                <a:latin typeface="+mn-lt"/>
                <a:ea typeface="+mn-ea"/>
                <a:cs typeface="+mn-cs"/>
              </a:rPr>
              <a:t>wordt een </a:t>
            </a:r>
            <a:r>
              <a:rPr lang="nl-NL" sz="900" b="0" i="1">
                <a:solidFill>
                  <a:sysClr val="windowText" lastClr="000000"/>
                </a:solidFill>
                <a:effectLst/>
                <a:latin typeface="+mn-lt"/>
                <a:ea typeface="+mn-ea"/>
                <a:cs typeface="+mn-cs"/>
              </a:rPr>
              <a:t>zo betrouwbaar mogelijk inzicht</a:t>
            </a:r>
            <a:r>
              <a:rPr lang="nl-NL" sz="900" b="0" i="1" baseline="0">
                <a:solidFill>
                  <a:sysClr val="windowText" lastClr="000000"/>
                </a:solidFill>
                <a:effectLst/>
                <a:latin typeface="+mn-lt"/>
                <a:ea typeface="+mn-ea"/>
                <a:cs typeface="+mn-cs"/>
              </a:rPr>
              <a:t> gegeven in de effecten van de keuzes binnen het Generatiepact. Deze tool is naar beste kunnen ontwikkeld. Noch Stichting O&amp;O-fonds GGZ noch de ontwikkelaar van deze tool kunnen verantwoordelijk worden gesteld voor de juistheid van de berekeningen die met deze tool worden vervaardigd of voor het onjuiste gebruik van deze tool. </a:t>
            </a:r>
          </a:p>
          <a:p>
            <a:r>
              <a:rPr lang="nl-NL" sz="900" b="0" i="1">
                <a:solidFill>
                  <a:srgbClr val="000000"/>
                </a:solidFill>
                <a:effectLst/>
                <a:latin typeface="Calibri" panose="020F0502020204030204" pitchFamily="34" charset="0"/>
              </a:rPr>
              <a:t>Let op: deze Rekenhulp Generatiepact is uitsluitend bedoeld voor medewerkers met een arbeidsovereenkomst waarop de CAO GGZ van toepassing is. In de rekenhulp wordt specifiek gerekend met de afspraken uit deze cao en de</a:t>
            </a:r>
            <a:r>
              <a:rPr lang="nl-NL" sz="900" b="0" i="1" baseline="0">
                <a:solidFill>
                  <a:srgbClr val="000000"/>
                </a:solidFill>
                <a:effectLst/>
                <a:latin typeface="Calibri" panose="020F0502020204030204" pitchFamily="34" charset="0"/>
              </a:rPr>
              <a:t> tool</a:t>
            </a:r>
            <a:r>
              <a:rPr lang="nl-NL" sz="900" b="0" i="1">
                <a:solidFill>
                  <a:srgbClr val="000000"/>
                </a:solidFill>
                <a:effectLst/>
                <a:latin typeface="Calibri" panose="020F0502020204030204" pitchFamily="34" charset="0"/>
              </a:rPr>
              <a:t> is daarmee niet geschikt voor medewerkers met een arbeidsovereenkomst die vallen onder een andere cao. </a:t>
            </a:r>
            <a:endParaRPr lang="nl-NL" sz="900" b="0" i="1" baseline="0">
              <a:solidFill>
                <a:sysClr val="windowText" lastClr="000000"/>
              </a:solidFill>
              <a:effectLst/>
              <a:latin typeface="+mn-lt"/>
              <a:ea typeface="+mn-ea"/>
              <a:cs typeface="+mn-cs"/>
            </a:endParaRPr>
          </a:p>
          <a:p>
            <a:endParaRPr lang="nl-NL" sz="900">
              <a:solidFill>
                <a:sysClr val="windowText" lastClr="000000"/>
              </a:solidFill>
              <a:effectLst/>
            </a:endParaRPr>
          </a:p>
          <a:p>
            <a:pPr algn="l"/>
            <a:endParaRPr lang="nl-NL" sz="900">
              <a:solidFill>
                <a:sysClr val="windowText" lastClr="000000"/>
              </a:solidFill>
            </a:endParaRPr>
          </a:p>
        </xdr:txBody>
      </xdr:sp>
      <xdr:pic>
        <xdr:nvPicPr>
          <xdr:cNvPr id="57" name="Graphic 24" descr="Waarschuwing met effen opvulling">
            <a:extLst>
              <a:ext uri="{FF2B5EF4-FFF2-40B4-BE49-F238E27FC236}">
                <a16:creationId xmlns:a16="http://schemas.microsoft.com/office/drawing/2014/main" id="{AFA6696F-D297-8920-6DA8-E1CEFA9172F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586599" y="5163554"/>
            <a:ext cx="485549" cy="308648"/>
          </a:xfrm>
          <a:prstGeom prst="rect">
            <a:avLst/>
          </a:prstGeom>
        </xdr:spPr>
      </xdr:pic>
    </xdr:grpSp>
    <xdr:clientData/>
  </xdr:twoCellAnchor>
  <xdr:twoCellAnchor editAs="absolute">
    <xdr:from>
      <xdr:col>0</xdr:col>
      <xdr:colOff>384775</xdr:colOff>
      <xdr:row>9</xdr:row>
      <xdr:rowOff>56517</xdr:rowOff>
    </xdr:from>
    <xdr:to>
      <xdr:col>13</xdr:col>
      <xdr:colOff>401002</xdr:colOff>
      <xdr:row>50</xdr:row>
      <xdr:rowOff>34925</xdr:rowOff>
    </xdr:to>
    <xdr:sp macro="" textlink="">
      <xdr:nvSpPr>
        <xdr:cNvPr id="62" name="Rechthoek: met één afgeschuinde hoek 25">
          <a:extLst>
            <a:ext uri="{FF2B5EF4-FFF2-40B4-BE49-F238E27FC236}">
              <a16:creationId xmlns:a16="http://schemas.microsoft.com/office/drawing/2014/main" id="{7AAE9643-3487-424A-B9E3-540CF3A4C2E3}"/>
            </a:ext>
            <a:ext uri="{147F2762-F138-4A5C-976F-8EAC2B608ADB}">
              <a16:predDERef xmlns:a16="http://schemas.microsoft.com/office/drawing/2014/main" pred="{BDE69ABB-20AF-4F0F-99D5-CE0AB1667E06}"/>
            </a:ext>
          </a:extLst>
        </xdr:cNvPr>
        <xdr:cNvSpPr>
          <a:spLocks noChangeAspect="1"/>
        </xdr:cNvSpPr>
      </xdr:nvSpPr>
      <xdr:spPr>
        <a:xfrm flipH="1">
          <a:off x="384775" y="2199642"/>
          <a:ext cx="8249637" cy="7463471"/>
        </a:xfrm>
        <a:prstGeom prst="snip1Rect">
          <a:avLst>
            <a:gd name="adj" fmla="val 5534"/>
          </a:avLst>
        </a:prstGeom>
        <a:solidFill>
          <a:sysClr val="window" lastClr="FFFFFF"/>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0" lang="nl-NL" sz="2400" b="0" i="0" u="none" strike="noStrike" kern="0" cap="none" spc="0" normalizeH="0" baseline="0" noProof="0">
              <a:ln>
                <a:noFill/>
              </a:ln>
              <a:solidFill>
                <a:srgbClr val="0080A3"/>
              </a:solidFill>
              <a:effectLst/>
              <a:uLnTx/>
              <a:uFillTx/>
              <a:latin typeface="+mn-lt"/>
              <a:ea typeface="+mn-ea"/>
              <a:cs typeface="+mn-cs"/>
            </a:rPr>
            <a:t>Het Generatiepact in de CAO GGZ</a:t>
          </a:r>
          <a:endParaRPr lang="nl-NL" sz="1800" b="0" baseline="0">
            <a:solidFill>
              <a:sysClr val="windowText" lastClr="000000"/>
            </a:solidFill>
          </a:endParaRPr>
        </a:p>
        <a:p>
          <a:r>
            <a:rPr lang="nl-NL" sz="1100" b="1">
              <a:solidFill>
                <a:schemeClr val="lt1"/>
              </a:solidFill>
              <a:effectLst/>
              <a:latin typeface="+mn-lt"/>
              <a:ea typeface="+mn-ea"/>
              <a:cs typeface="+mn-cs"/>
            </a:rPr>
            <a:t>eratiebeleid in de Cao Ziekenhuizen</a:t>
          </a:r>
          <a:endParaRPr lang="nl-NL"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400" b="0" i="0" u="none" strike="noStrike" kern="0" cap="none" spc="0" normalizeH="0" baseline="0" noProof="0">
              <a:ln>
                <a:noFill/>
              </a:ln>
              <a:solidFill>
                <a:srgbClr val="558EC7"/>
              </a:solidFill>
              <a:effectLst/>
              <a:uLnTx/>
              <a:uFillTx/>
              <a:latin typeface="+mn-lt"/>
              <a:ea typeface="+mn-ea"/>
              <a:cs typeface="+mn-cs"/>
            </a:rPr>
            <a:t>Het Generatiepact</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rgbClr val="000000"/>
              </a:solidFill>
              <a:effectLst/>
              <a:latin typeface="Calibri" panose="020F0502020204030204" pitchFamily="34" charset="0"/>
            </a:rPr>
            <a:t>In de CAO 2021-2024 hebben cao-partijen het </a:t>
          </a:r>
          <a:r>
            <a:rPr lang="nl-NL" sz="1100" b="0" i="1">
              <a:solidFill>
                <a:srgbClr val="000000"/>
              </a:solidFill>
              <a:effectLst/>
              <a:latin typeface="Calibri" panose="020F0502020204030204" pitchFamily="34" charset="0"/>
            </a:rPr>
            <a:t>Generatiepact</a:t>
          </a:r>
          <a:r>
            <a:rPr lang="nl-NL" sz="1100" b="0" i="0">
              <a:solidFill>
                <a:srgbClr val="000000"/>
              </a:solidFill>
              <a:effectLst/>
              <a:latin typeface="Calibri" panose="020F0502020204030204" pitchFamily="34" charset="0"/>
            </a:rPr>
            <a:t> afgesproken. Met het Generatiepact willen</a:t>
          </a:r>
          <a:r>
            <a:rPr lang="nl-NL" sz="1100" b="0" i="0" baseline="0">
              <a:solidFill>
                <a:srgbClr val="000000"/>
              </a:solidFill>
              <a:effectLst/>
              <a:latin typeface="Calibri" panose="020F0502020204030204" pitchFamily="34" charset="0"/>
            </a:rPr>
            <a:t> deze </a:t>
          </a:r>
          <a:r>
            <a:rPr lang="nl-NL" sz="1100" b="0" i="0">
              <a:solidFill>
                <a:srgbClr val="000000"/>
              </a:solidFill>
              <a:effectLst/>
              <a:latin typeface="Calibri" panose="020F0502020204030204" pitchFamily="34" charset="0"/>
            </a:rPr>
            <a:t>partijen de </a:t>
          </a:r>
          <a:r>
            <a:rPr lang="nl-NL" sz="1100" b="0" i="1">
              <a:solidFill>
                <a:srgbClr val="000000"/>
              </a:solidFill>
              <a:effectLst/>
              <a:latin typeface="Calibri" panose="020F0502020204030204" pitchFamily="34" charset="0"/>
            </a:rPr>
            <a:t>duurzame inzetbaarheid </a:t>
          </a:r>
          <a:r>
            <a:rPr lang="nl-NL" sz="1100" b="0" i="0">
              <a:solidFill>
                <a:srgbClr val="000000"/>
              </a:solidFill>
              <a:effectLst/>
              <a:latin typeface="Calibri" panose="020F0502020204030204" pitchFamily="34" charset="0"/>
            </a:rPr>
            <a:t>van medewerkers aan het einde van hun loopbaan vergroten en hen daarmee langer </a:t>
          </a:r>
          <a:r>
            <a:rPr lang="nl-NL" sz="1100" b="0" i="1">
              <a:solidFill>
                <a:srgbClr val="000000"/>
              </a:solidFill>
              <a:effectLst/>
              <a:latin typeface="Calibri" panose="020F0502020204030204" pitchFamily="34" charset="0"/>
            </a:rPr>
            <a:t>en</a:t>
          </a:r>
          <a:r>
            <a:rPr lang="nl-NL" sz="1100" b="0" i="0">
              <a:solidFill>
                <a:srgbClr val="000000"/>
              </a:solidFill>
              <a:effectLst/>
              <a:latin typeface="Calibri" panose="020F0502020204030204" pitchFamily="34" charset="0"/>
            </a:rPr>
            <a:t> gezond laten doorwerken tot hun AOW-leeftijd. Hierdoor blijven medewerkers, en hun kennis, langer voor de sector behouden. Door het afbouwen van de werkzaamheden ontstaat meer tijd om te herstellen en werk en privé beter in evenwicht te brengen. Ook wordt tegemoetgekomen aan de wens van</a:t>
          </a:r>
          <a:r>
            <a:rPr lang="nl-NL" sz="1100" b="0" i="0" baseline="0">
              <a:solidFill>
                <a:srgbClr val="000000"/>
              </a:solidFill>
              <a:effectLst/>
              <a:latin typeface="Calibri" panose="020F0502020204030204" pitchFamily="34" charset="0"/>
            </a:rPr>
            <a:t> medewerkers </a:t>
          </a:r>
          <a:r>
            <a:rPr lang="nl-NL" sz="1100" b="0" i="0">
              <a:solidFill>
                <a:srgbClr val="000000"/>
              </a:solidFill>
              <a:effectLst/>
              <a:latin typeface="Calibri" panose="020F0502020204030204" pitchFamily="34" charset="0"/>
            </a:rPr>
            <a:t>om kennis over te dragen aan de volgende generaties. Voor werkgevers is uitvoering van het Generatiepact verplicht; als medewerker heb je </a:t>
          </a:r>
          <a:r>
            <a:rPr lang="nl-NL" sz="1100" b="0" i="1">
              <a:solidFill>
                <a:srgbClr val="000000"/>
              </a:solidFill>
              <a:effectLst/>
              <a:latin typeface="Calibri" panose="020F0502020204030204" pitchFamily="34" charset="0"/>
            </a:rPr>
            <a:t>de keuze </a:t>
          </a:r>
          <a:r>
            <a:rPr lang="nl-NL" sz="1100" b="0" i="0">
              <a:solidFill>
                <a:srgbClr val="000000"/>
              </a:solidFill>
              <a:effectLst/>
              <a:latin typeface="Calibri" panose="020F0502020204030204" pitchFamily="34" charset="0"/>
            </a:rPr>
            <a:t>om er gebruik van te maken. Dit uiteraard als je voldoet aan de voorwaarden voor deelname.</a:t>
          </a: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srgbClr val="000000"/>
            </a:solidFill>
            <a:effectLst/>
            <a:uLnTx/>
            <a:uFillTx/>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rgbClr val="000000"/>
              </a:solidFill>
              <a:effectLst/>
              <a:latin typeface="Calibri" panose="020F0502020204030204" pitchFamily="34" charset="0"/>
            </a:rPr>
            <a:t>Met het Generatiepact biede</a:t>
          </a:r>
          <a:r>
            <a:rPr lang="nl-NL" sz="1100" b="0" i="0" baseline="0">
              <a:solidFill>
                <a:srgbClr val="000000"/>
              </a:solidFill>
              <a:effectLst/>
              <a:latin typeface="Calibri" panose="020F0502020204030204" pitchFamily="34" charset="0"/>
            </a:rPr>
            <a:t>n</a:t>
          </a:r>
          <a:r>
            <a:rPr lang="nl-NL" sz="1100" b="0" i="0">
              <a:solidFill>
                <a:srgbClr val="000000"/>
              </a:solidFill>
              <a:effectLst/>
              <a:latin typeface="Calibri" panose="020F0502020204030204" pitchFamily="34" charset="0"/>
            </a:rPr>
            <a:t> cao-partijen medewerkers met een belastende functie de mogelijkheid</a:t>
          </a:r>
          <a:r>
            <a:rPr lang="nl-NL" sz="1100" b="0" i="0" baseline="0">
              <a:solidFill>
                <a:srgbClr val="000000"/>
              </a:solidFill>
              <a:effectLst/>
              <a:latin typeface="Calibri" panose="020F0502020204030204" pitchFamily="34" charset="0"/>
            </a:rPr>
            <a:t> </a:t>
          </a:r>
          <a:r>
            <a:rPr lang="nl-NL" sz="1100" b="0" i="0">
              <a:solidFill>
                <a:srgbClr val="000000"/>
              </a:solidFill>
              <a:effectLst/>
              <a:latin typeface="Calibri" panose="020F0502020204030204" pitchFamily="34" charset="0"/>
            </a:rPr>
            <a:t>om maximaal vier jaar voor de AOW-leeftijd deel te nemen aan een regeling waarbij de medewerker 80% van het huidige aantal werkuren gaat werken, het salaris op 90% wordt uitbetaald en de pensioenopbouw voor 100% doorloopt. Onder tabblad 'De regeling'</a:t>
          </a:r>
          <a:r>
            <a:rPr lang="nl-NL" sz="1100" b="0" i="1">
              <a:solidFill>
                <a:srgbClr val="000000"/>
              </a:solidFill>
              <a:effectLst/>
              <a:latin typeface="Calibri" panose="020F0502020204030204" pitchFamily="34" charset="0"/>
            </a:rPr>
            <a:t> </a:t>
          </a:r>
          <a:r>
            <a:rPr lang="nl-NL" sz="1100" b="0" i="0">
              <a:solidFill>
                <a:srgbClr val="000000"/>
              </a:solidFill>
              <a:effectLst/>
              <a:latin typeface="Calibri" panose="020F0502020204030204" pitchFamily="34" charset="0"/>
            </a:rPr>
            <a:t>lees je hier meer over. </a:t>
          </a:r>
          <a:r>
            <a:rPr lang="nl-NL" sz="1100" b="0" i="0">
              <a:solidFill>
                <a:schemeClr val="tx1"/>
              </a:solidFill>
              <a:effectLst/>
              <a:latin typeface="+mn-lt"/>
              <a:ea typeface="+mn-ea"/>
              <a:cs typeface="+mn-cs"/>
            </a:rPr>
            <a:t>Cao-partijen beogen met het Generatiepact dat jij tot aan het einde van jouw loopbaan gezond en fit kan blijven werken. </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a:solidFill>
              <a:schemeClr val="tx1"/>
            </a:solidFill>
            <a:effectLst/>
            <a:latin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400" b="0" i="0" u="none" strike="noStrike" kern="0" cap="none" spc="0" normalizeH="0" baseline="0" noProof="0">
              <a:ln>
                <a:noFill/>
              </a:ln>
              <a:solidFill>
                <a:srgbClr val="558EC7"/>
              </a:solidFill>
              <a:effectLst/>
              <a:uLnTx/>
              <a:uFillTx/>
              <a:latin typeface="+mn-lt"/>
              <a:ea typeface="+mn-ea"/>
              <a:cs typeface="+mn-cs"/>
            </a:rPr>
            <a:t>Maatwerk</a:t>
          </a:r>
          <a:r>
            <a:rPr kumimoji="0" lang="nl-NL" sz="1100" b="0" i="0" u="none" strike="noStrike" kern="0" cap="none" spc="0" normalizeH="0" baseline="0" noProof="0">
              <a:ln>
                <a:noFill/>
              </a:ln>
              <a:solidFill>
                <a:srgbClr val="558EC7"/>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chemeClr val="tx1"/>
              </a:solidFill>
              <a:effectLst/>
              <a:uLnTx/>
              <a:uFillTx/>
              <a:latin typeface="+mn-lt"/>
              <a:ea typeface="+mn-ea"/>
              <a:cs typeface="+mn-cs"/>
            </a:rPr>
            <a:t>I</a:t>
          </a:r>
          <a:r>
            <a:rPr lang="nl-NL" sz="1100" b="0" i="0">
              <a:solidFill>
                <a:schemeClr val="tx1"/>
              </a:solidFill>
              <a:effectLst/>
              <a:latin typeface="Calibri" panose="020F0502020204030204" pitchFamily="34" charset="0"/>
            </a:rPr>
            <a:t>n deze fase van jouw werkend leven is maatwerk gewenst. Onderzoek wat je de komende jaren nodig hebt en wat</a:t>
          </a:r>
          <a:r>
            <a:rPr lang="nl-NL" sz="1100" b="0" i="0" baseline="0">
              <a:solidFill>
                <a:schemeClr val="tx1"/>
              </a:solidFill>
              <a:effectLst/>
              <a:latin typeface="Calibri" panose="020F0502020204030204" pitchFamily="34" charset="0"/>
            </a:rPr>
            <a:t> je z</a:t>
          </a:r>
          <a:r>
            <a:rPr lang="nl-NL" sz="1100" b="0" i="0">
              <a:solidFill>
                <a:schemeClr val="tx1"/>
              </a:solidFill>
              <a:effectLst/>
              <a:latin typeface="Calibri" panose="020F0502020204030204" pitchFamily="34" charset="0"/>
            </a:rPr>
            <a:t>elf kan</a:t>
          </a:r>
          <a:r>
            <a:rPr lang="nl-NL" sz="1100" b="0" i="0" baseline="0">
              <a:solidFill>
                <a:schemeClr val="tx1"/>
              </a:solidFill>
              <a:effectLst/>
              <a:latin typeface="Calibri" panose="020F0502020204030204" pitchFamily="34" charset="0"/>
            </a:rPr>
            <a:t> </a:t>
          </a:r>
          <a:r>
            <a:rPr lang="nl-NL" sz="1100" b="0" i="0">
              <a:solidFill>
                <a:schemeClr val="tx1"/>
              </a:solidFill>
              <a:effectLst/>
              <a:latin typeface="Calibri" panose="020F0502020204030204" pitchFamily="34" charset="0"/>
            </a:rPr>
            <a:t>doen en bespreek dit met je werkgever.</a:t>
          </a:r>
          <a:r>
            <a:rPr lang="nl-NL" sz="1100" b="0" i="0" baseline="0">
              <a:solidFill>
                <a:schemeClr val="tx1"/>
              </a:solidFill>
              <a:effectLst/>
              <a:latin typeface="Calibri" panose="020F0502020204030204" pitchFamily="34" charset="0"/>
            </a:rPr>
            <a:t> Denk hierbij aan de mogelijkheden die je hebt vanuit de cao (zoals het Levensfasebudget) of bijvoorbeeld een </a:t>
          </a:r>
          <a:r>
            <a:rPr lang="nl-NL" sz="1100" b="0" i="0">
              <a:solidFill>
                <a:schemeClr val="tx1"/>
              </a:solidFill>
              <a:effectLst/>
              <a:latin typeface="Calibri" panose="020F0502020204030204" pitchFamily="34" charset="0"/>
            </a:rPr>
            <a:t>andere functie-invulling of andere werktijden. En</a:t>
          </a:r>
          <a:r>
            <a:rPr lang="nl-NL" sz="1100" b="0" i="0" baseline="0">
              <a:solidFill>
                <a:schemeClr val="tx1"/>
              </a:solidFill>
              <a:effectLst/>
              <a:latin typeface="Calibri" panose="020F0502020204030204" pitchFamily="34" charset="0"/>
            </a:rPr>
            <a:t> uiteraard of je het Generatiepact wil inzetten als dit voor jou </a:t>
          </a:r>
          <a:r>
            <a:rPr lang="nl-NL" sz="1100" b="0" i="1" baseline="0">
              <a:solidFill>
                <a:schemeClr val="tx1"/>
              </a:solidFill>
              <a:effectLst/>
              <a:latin typeface="Calibri" panose="020F0502020204030204" pitchFamily="34" charset="0"/>
            </a:rPr>
            <a:t>het </a:t>
          </a:r>
          <a:r>
            <a:rPr lang="nl-NL" sz="1100" b="0" i="0" baseline="0">
              <a:solidFill>
                <a:schemeClr val="tx1"/>
              </a:solidFill>
              <a:effectLst/>
              <a:latin typeface="Calibri" panose="020F0502020204030204" pitchFamily="34" charset="0"/>
            </a:rPr>
            <a:t>passende instrument is.</a:t>
          </a:r>
        </a:p>
        <a:p>
          <a:endParaRPr kumimoji="0" lang="nl-NL" sz="1100" b="0" i="1" u="none" strike="noStrike" kern="0" cap="none" spc="0" normalizeH="0" baseline="0" noProof="0">
            <a:ln>
              <a:noFill/>
            </a:ln>
            <a:solidFill>
              <a:srgbClr val="000000"/>
            </a:solidFill>
            <a:effectLst/>
            <a:uLnTx/>
            <a:uFillTx/>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400" b="0" i="0" u="none" strike="noStrike" kern="0" cap="none" spc="0" normalizeH="0" baseline="0" noProof="0">
              <a:ln>
                <a:noFill/>
              </a:ln>
              <a:solidFill>
                <a:srgbClr val="558EC7"/>
              </a:solidFill>
              <a:effectLst/>
              <a:uLnTx/>
              <a:uFillTx/>
              <a:latin typeface="+mn-lt"/>
              <a:ea typeface="+mn-ea"/>
              <a:cs typeface="+mn-cs"/>
            </a:rPr>
            <a:t>Rekenhulp medewerker</a:t>
          </a:r>
        </a:p>
        <a:p>
          <a:pPr marL="0" marR="0" lvl="0" indent="0" defTabSz="914400" eaLnBrk="1" fontAlgn="auto" latinLnBrk="0" hangingPunct="1">
            <a:lnSpc>
              <a:spcPct val="100000"/>
            </a:lnSpc>
            <a:spcBef>
              <a:spcPts val="0"/>
            </a:spcBef>
            <a:spcAft>
              <a:spcPts val="0"/>
            </a:spcAft>
            <a:buClrTx/>
            <a:buSzTx/>
            <a:buFontTx/>
            <a:buNone/>
            <a:tabLst/>
            <a:defRPr/>
          </a:pPr>
          <a:r>
            <a:rPr lang="nl-NL" sz="1100" b="0" i="1">
              <a:solidFill>
                <a:srgbClr val="000000"/>
              </a:solidFill>
              <a:effectLst/>
              <a:latin typeface="Calibri" panose="020F0502020204030204" pitchFamily="34" charset="0"/>
            </a:rPr>
            <a:t>Wat betekent het nu als je gebruik gaat maken van het Generatiepact? Bouw je dan nog pensioen op? En wanneer kom je eigenlijk in aanmerking voor het Generatiepact?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rgbClr val="000000"/>
              </a:solidFill>
              <a:effectLst/>
              <a:latin typeface="Calibri" panose="020F0502020204030204" pitchFamily="34" charset="0"/>
            </a:rPr>
            <a:t>Om deze en andere vragen te beantwoorden en om inzicht te geven in wat deelname aan het Generatiepact voor jou betekent, hebben cao-partijen deze rekenhulp ontwikkeld. Deze is bedoeld als hulpmiddel om je zo goed mogelijk te oriënteren en daarna een keuze te maken.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400" b="0" i="0" u="none" strike="noStrike" kern="0" cap="none" spc="0" normalizeH="0" baseline="0" noProof="0">
              <a:ln>
                <a:noFill/>
              </a:ln>
              <a:solidFill>
                <a:srgbClr val="558EC7"/>
              </a:solidFill>
              <a:effectLst/>
              <a:uLnTx/>
              <a:uFillTx/>
              <a:latin typeface="+mn-lt"/>
              <a:ea typeface="+mn-ea"/>
              <a:cs typeface="+mn-cs"/>
            </a:rPr>
            <a:t>Gebruiksaanwijzing Rekenhulp</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prstClr val="black"/>
              </a:solidFill>
              <a:effectLst/>
              <a:uLnTx/>
              <a:uFillTx/>
              <a:latin typeface="+mn-lt"/>
              <a:ea typeface="+mn-ea"/>
              <a:cs typeface="+mn-cs"/>
            </a:rPr>
            <a:t>De rekenhulp kent naast dit tabblad een aantal tabbladen die je kunt doorlopen om tot een besluit te komen om al dan niet gebruik te maken van het Generatiepact. In deze tabbladen wordt je gevraagd om eigen gegevens in te vullen zodat je én ziet of je in aanmerking komt voor het Generatiepact én als dit zo is, een zo goed mogelijk beeld krijgt van je eigen situatie. Daarnaast wordt relevante informatie getoond over de mogelijke gevolgen van het gebruik van het Generatiepact.</a:t>
          </a: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Text" lastClr="000000"/>
              </a:solidFill>
              <a:effectLst/>
              <a:uLnTx/>
              <a:uFillTx/>
              <a:latin typeface="+mn-lt"/>
              <a:ea typeface="+mn-ea"/>
              <a:cs typeface="+mn-cs"/>
            </a:rPr>
            <a:t>Meer informatie over het Generatiepact, generatiebeleid en in balans komen, vind je op de website van het O&amp;O-fonds GGZ (zie het tabblad 'Nuttige links').</a:t>
          </a:r>
        </a:p>
        <a:p>
          <a:pPr algn="l"/>
          <a:endParaRPr lang="nl-NL" sz="1400" b="0">
            <a:solidFill>
              <a:srgbClr val="558EC7"/>
            </a:solidFill>
          </a:endParaRPr>
        </a:p>
      </xdr:txBody>
    </xdr:sp>
    <xdr:clientData/>
  </xdr:twoCellAnchor>
  <xdr:oneCellAnchor>
    <xdr:from>
      <xdr:col>11</xdr:col>
      <xdr:colOff>152400</xdr:colOff>
      <xdr:row>1</xdr:row>
      <xdr:rowOff>85725</xdr:rowOff>
    </xdr:from>
    <xdr:ext cx="1068717" cy="1285513"/>
    <xdr:pic>
      <xdr:nvPicPr>
        <xdr:cNvPr id="27" name="Afbeelding 26">
          <a:hlinkClick xmlns:r="http://schemas.openxmlformats.org/officeDocument/2006/relationships" r:id="rId15" tooltip="https://www.oofggz.nl/goedwerkenindeggz/"/>
          <a:extLst>
            <a:ext uri="{FF2B5EF4-FFF2-40B4-BE49-F238E27FC236}">
              <a16:creationId xmlns:a16="http://schemas.microsoft.com/office/drawing/2014/main" id="{BA74479F-4B05-41DA-B20D-45ACCE1CED7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58025" y="266700"/>
          <a:ext cx="1068717" cy="1285513"/>
        </a:xfrm>
        <a:prstGeom prst="rect">
          <a:avLst/>
        </a:prstGeom>
      </xdr:spPr>
    </xdr:pic>
    <xdr:clientData/>
  </xdr:oneCellAnchor>
  <xdr:absoluteAnchor>
    <xdr:pos x="8866191" y="2123902"/>
    <xdr:ext cx="2478461" cy="699247"/>
    <xdr:grpSp>
      <xdr:nvGrpSpPr>
        <xdr:cNvPr id="18" name="Groep 17">
          <a:hlinkClick xmlns:r="http://schemas.openxmlformats.org/officeDocument/2006/relationships" r:id="rId17" tooltip="https://www.fbz.nl/"/>
          <a:extLst>
            <a:ext uri="{FF2B5EF4-FFF2-40B4-BE49-F238E27FC236}">
              <a16:creationId xmlns:a16="http://schemas.microsoft.com/office/drawing/2014/main" id="{617A6CF7-93C8-13B0-B4A4-1CFAB73A558E}"/>
            </a:ext>
          </a:extLst>
        </xdr:cNvPr>
        <xdr:cNvGrpSpPr/>
      </xdr:nvGrpSpPr>
      <xdr:grpSpPr>
        <a:xfrm>
          <a:off x="8866191" y="2123902"/>
          <a:ext cx="2478461" cy="699247"/>
          <a:chOff x="1167369" y="4598894"/>
          <a:chExt cx="2483223" cy="699247"/>
        </a:xfrm>
      </xdr:grpSpPr>
      <xdr:sp macro="" textlink="">
        <xdr:nvSpPr>
          <xdr:cNvPr id="23" name="Rechthoek: afgeronde hoeken 22">
            <a:extLst>
              <a:ext uri="{FF2B5EF4-FFF2-40B4-BE49-F238E27FC236}">
                <a16:creationId xmlns:a16="http://schemas.microsoft.com/office/drawing/2014/main" id="{5994F872-5A49-2725-E676-EA2CCC2FEB26}"/>
              </a:ext>
            </a:extLst>
          </xdr:cNvPr>
          <xdr:cNvSpPr/>
        </xdr:nvSpPr>
        <xdr:spPr>
          <a:xfrm>
            <a:off x="1167369" y="4598894"/>
            <a:ext cx="2483223" cy="699247"/>
          </a:xfrm>
          <a:prstGeom prst="roundRect">
            <a:avLst/>
          </a:prstGeom>
          <a:solidFill>
            <a:schemeClr val="bg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pic>
        <xdr:nvPicPr>
          <xdr:cNvPr id="24" name="Afbeelding 23">
            <a:extLst>
              <a:ext uri="{FF2B5EF4-FFF2-40B4-BE49-F238E27FC236}">
                <a16:creationId xmlns:a16="http://schemas.microsoft.com/office/drawing/2014/main" id="{7E9B989A-DDB1-5843-BEFE-DD5B1E268761}"/>
              </a:ext>
            </a:extLst>
          </xdr:cNvPr>
          <xdr:cNvPicPr>
            <a:picLocks noChangeAspect="1"/>
          </xdr:cNvPicPr>
        </xdr:nvPicPr>
        <xdr:blipFill>
          <a:blip xmlns:r="http://schemas.openxmlformats.org/officeDocument/2006/relationships" r:embed="rId18"/>
          <a:stretch>
            <a:fillRect/>
          </a:stretch>
        </xdr:blipFill>
        <xdr:spPr>
          <a:xfrm>
            <a:off x="1960591" y="4657449"/>
            <a:ext cx="896778" cy="622762"/>
          </a:xfrm>
          <a:prstGeom prst="rect">
            <a:avLst/>
          </a:prstGeom>
        </xdr:spPr>
      </xdr:pic>
    </xdr:grpSp>
    <xdr:clientData/>
  </xdr:absolute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315633</xdr:colOff>
      <xdr:row>10</xdr:row>
      <xdr:rowOff>28482</xdr:rowOff>
    </xdr:to>
    <xdr:sp macro="" textlink="">
      <xdr:nvSpPr>
        <xdr:cNvPr id="3" name="Shape 56">
          <a:extLst>
            <a:ext uri="{FF2B5EF4-FFF2-40B4-BE49-F238E27FC236}">
              <a16:creationId xmlns:a16="http://schemas.microsoft.com/office/drawing/2014/main" id="{7AC53C92-4D62-A6E6-C99C-467BC6283DD5}"/>
            </a:ext>
          </a:extLst>
        </xdr:cNvPr>
        <xdr:cNvSpPr/>
      </xdr:nvSpPr>
      <xdr:spPr>
        <a:xfrm>
          <a:off x="0" y="0"/>
          <a:ext cx="1534833" cy="1838232"/>
        </a:xfrm>
        <a:custGeom>
          <a:avLst/>
          <a:gdLst/>
          <a:ahLst/>
          <a:cxnLst/>
          <a:rect l="0" t="0" r="0" b="0"/>
          <a:pathLst>
            <a:path w="1654061" h="1984947">
              <a:moveTo>
                <a:pt x="330771" y="0"/>
              </a:moveTo>
              <a:lnTo>
                <a:pt x="1654061" y="0"/>
              </a:lnTo>
              <a:lnTo>
                <a:pt x="1654061" y="1654099"/>
              </a:lnTo>
              <a:lnTo>
                <a:pt x="330771" y="1654099"/>
              </a:lnTo>
              <a:lnTo>
                <a:pt x="0" y="1984947"/>
              </a:lnTo>
              <a:lnTo>
                <a:pt x="0" y="330848"/>
              </a:lnTo>
              <a:lnTo>
                <a:pt x="330771" y="0"/>
              </a:lnTo>
              <a:close/>
            </a:path>
          </a:pathLst>
        </a:custGeom>
        <a:ln w="0" cap="flat">
          <a:miter lim="127000"/>
        </a:ln>
      </xdr:spPr>
      <xdr:style>
        <a:lnRef idx="0">
          <a:srgbClr val="000000">
            <a:alpha val="0"/>
          </a:srgbClr>
        </a:lnRef>
        <a:fillRef idx="1">
          <a:srgbClr val="0080A2"/>
        </a:fillRef>
        <a:effectRef idx="0">
          <a:scrgbClr r="0" g="0" b="0"/>
        </a:effectRef>
        <a:fontRef idx="none"/>
      </xdr:style>
      <xdr:txBody>
        <a:bodyPr wrap="square"/>
        <a:lstStyle/>
        <a:p>
          <a:endParaRPr lang="nl-NL"/>
        </a:p>
      </xdr:txBody>
    </xdr:sp>
    <xdr:clientData/>
  </xdr:twoCellAnchor>
  <xdr:twoCellAnchor>
    <xdr:from>
      <xdr:col>2</xdr:col>
      <xdr:colOff>548484</xdr:colOff>
      <xdr:row>0</xdr:row>
      <xdr:rowOff>0</xdr:rowOff>
    </xdr:from>
    <xdr:to>
      <xdr:col>5</xdr:col>
      <xdr:colOff>254517</xdr:colOff>
      <xdr:row>10</xdr:row>
      <xdr:rowOff>28482</xdr:rowOff>
    </xdr:to>
    <xdr:sp macro="" textlink="">
      <xdr:nvSpPr>
        <xdr:cNvPr id="4" name="Shape 58">
          <a:extLst>
            <a:ext uri="{FF2B5EF4-FFF2-40B4-BE49-F238E27FC236}">
              <a16:creationId xmlns:a16="http://schemas.microsoft.com/office/drawing/2014/main" id="{8C1A633D-463D-7653-65F8-8082EDDAD2BB}"/>
            </a:ext>
          </a:extLst>
        </xdr:cNvPr>
        <xdr:cNvSpPr/>
      </xdr:nvSpPr>
      <xdr:spPr>
        <a:xfrm>
          <a:off x="1767684" y="0"/>
          <a:ext cx="1534833" cy="1838232"/>
        </a:xfrm>
        <a:custGeom>
          <a:avLst/>
          <a:gdLst/>
          <a:ahLst/>
          <a:cxnLst/>
          <a:rect l="0" t="0" r="0" b="0"/>
          <a:pathLst>
            <a:path w="1654061" h="1984947">
              <a:moveTo>
                <a:pt x="330771" y="0"/>
              </a:moveTo>
              <a:lnTo>
                <a:pt x="1654061" y="0"/>
              </a:lnTo>
              <a:lnTo>
                <a:pt x="1654061" y="1654099"/>
              </a:lnTo>
              <a:lnTo>
                <a:pt x="330771" y="1654099"/>
              </a:lnTo>
              <a:lnTo>
                <a:pt x="0" y="1984947"/>
              </a:lnTo>
              <a:lnTo>
                <a:pt x="0" y="330848"/>
              </a:lnTo>
              <a:lnTo>
                <a:pt x="330771" y="0"/>
              </a:lnTo>
              <a:close/>
            </a:path>
          </a:pathLst>
        </a:custGeom>
        <a:ln w="0" cap="flat">
          <a:miter lim="127000"/>
        </a:ln>
      </xdr:spPr>
      <xdr:style>
        <a:lnRef idx="0">
          <a:srgbClr val="000000">
            <a:alpha val="0"/>
          </a:srgbClr>
        </a:lnRef>
        <a:fillRef idx="1">
          <a:srgbClr val="82449C"/>
        </a:fillRef>
        <a:effectRef idx="0">
          <a:scrgbClr r="0" g="0" b="0"/>
        </a:effectRef>
        <a:fontRef idx="none"/>
      </xdr:style>
      <xdr:txBody>
        <a:bodyPr wrap="square"/>
        <a:lstStyle/>
        <a:p>
          <a:endParaRPr lang="nl-NL"/>
        </a:p>
      </xdr:txBody>
    </xdr:sp>
    <xdr:clientData/>
  </xdr:twoCellAnchor>
  <xdr:twoCellAnchor>
    <xdr:from>
      <xdr:col>5</xdr:col>
      <xdr:colOff>510938</xdr:colOff>
      <xdr:row>0</xdr:row>
      <xdr:rowOff>0</xdr:rowOff>
    </xdr:from>
    <xdr:to>
      <xdr:col>8</xdr:col>
      <xdr:colOff>216971</xdr:colOff>
      <xdr:row>10</xdr:row>
      <xdr:rowOff>28482</xdr:rowOff>
    </xdr:to>
    <xdr:sp macro="" textlink="">
      <xdr:nvSpPr>
        <xdr:cNvPr id="5" name="Shape 60">
          <a:extLst>
            <a:ext uri="{FF2B5EF4-FFF2-40B4-BE49-F238E27FC236}">
              <a16:creationId xmlns:a16="http://schemas.microsoft.com/office/drawing/2014/main" id="{D4D9BCCB-BCFD-F736-7747-C99F1EAFC299}"/>
            </a:ext>
          </a:extLst>
        </xdr:cNvPr>
        <xdr:cNvSpPr/>
      </xdr:nvSpPr>
      <xdr:spPr>
        <a:xfrm>
          <a:off x="3558938" y="0"/>
          <a:ext cx="1534833" cy="1838232"/>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ln w="0" cap="flat">
          <a:miter lim="127000"/>
        </a:ln>
      </xdr:spPr>
      <xdr:style>
        <a:lnRef idx="0">
          <a:srgbClr val="000000">
            <a:alpha val="0"/>
          </a:srgbClr>
        </a:lnRef>
        <a:fillRef idx="1">
          <a:srgbClr val="E30150"/>
        </a:fillRef>
        <a:effectRef idx="0">
          <a:scrgbClr r="0" g="0" b="0"/>
        </a:effectRef>
        <a:fontRef idx="none"/>
      </xdr:style>
      <xdr:txBody>
        <a:bodyPr wrap="square"/>
        <a:lstStyle/>
        <a:p>
          <a:endParaRPr lang="nl-NL"/>
        </a:p>
      </xdr:txBody>
    </xdr:sp>
    <xdr:clientData/>
  </xdr:twoCellAnchor>
  <xdr:twoCellAnchor>
    <xdr:from>
      <xdr:col>8</xdr:col>
      <xdr:colOff>461607</xdr:colOff>
      <xdr:row>0</xdr:row>
      <xdr:rowOff>0</xdr:rowOff>
    </xdr:from>
    <xdr:to>
      <xdr:col>11</xdr:col>
      <xdr:colOff>167640</xdr:colOff>
      <xdr:row>10</xdr:row>
      <xdr:rowOff>28482</xdr:rowOff>
    </xdr:to>
    <xdr:sp macro="" textlink="">
      <xdr:nvSpPr>
        <xdr:cNvPr id="6" name="Shape 63">
          <a:extLst>
            <a:ext uri="{FF2B5EF4-FFF2-40B4-BE49-F238E27FC236}">
              <a16:creationId xmlns:a16="http://schemas.microsoft.com/office/drawing/2014/main" id="{537C8346-108C-3C4D-D17D-F1A440F2299E}"/>
            </a:ext>
          </a:extLst>
        </xdr:cNvPr>
        <xdr:cNvSpPr/>
      </xdr:nvSpPr>
      <xdr:spPr>
        <a:xfrm>
          <a:off x="5338407" y="0"/>
          <a:ext cx="1534833" cy="1838232"/>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76200</xdr:rowOff>
    </xdr:from>
    <xdr:ext cx="5684793" cy="4467225"/>
    <xdr:pic>
      <xdr:nvPicPr>
        <xdr:cNvPr id="2" name="Afbeelding 1" descr="Dochter, moeder en grootmoeder">
          <a:extLst>
            <a:ext uri="{FF2B5EF4-FFF2-40B4-BE49-F238E27FC236}">
              <a16:creationId xmlns:a16="http://schemas.microsoft.com/office/drawing/2014/main" id="{56E6CCDE-0C57-4EA4-8C77-800A0243A3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034" r="7966"/>
        <a:stretch/>
      </xdr:blipFill>
      <xdr:spPr>
        <a:xfrm>
          <a:off x="0" y="1162050"/>
          <a:ext cx="5684793" cy="4467225"/>
        </a:xfrm>
        <a:prstGeom prst="homePlate">
          <a:avLst/>
        </a:prstGeom>
      </xdr:spPr>
    </xdr:pic>
    <xdr:clientData/>
  </xdr:oneCellAnchor>
  <xdr:oneCellAnchor>
    <xdr:from>
      <xdr:col>7</xdr:col>
      <xdr:colOff>26670</xdr:colOff>
      <xdr:row>0</xdr:row>
      <xdr:rowOff>139065</xdr:rowOff>
    </xdr:from>
    <xdr:ext cx="1068717" cy="1285513"/>
    <xdr:pic>
      <xdr:nvPicPr>
        <xdr:cNvPr id="17" name="Afbeelding 16">
          <a:hlinkClick xmlns:r="http://schemas.openxmlformats.org/officeDocument/2006/relationships" r:id="rId2" tooltip="https://www.oofggz.nl/goedwerkenindeggz/"/>
          <a:extLst>
            <a:ext uri="{FF2B5EF4-FFF2-40B4-BE49-F238E27FC236}">
              <a16:creationId xmlns:a16="http://schemas.microsoft.com/office/drawing/2014/main" id="{2C14E24B-69F1-42EC-B999-E28905BC7A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22870" y="139065"/>
          <a:ext cx="1068717" cy="1285513"/>
        </a:xfrm>
        <a:prstGeom prst="rect">
          <a:avLst/>
        </a:prstGeom>
      </xdr:spPr>
    </xdr:pic>
    <xdr:clientData/>
  </xdr:oneCellAnchor>
  <xdr:twoCellAnchor>
    <xdr:from>
      <xdr:col>5</xdr:col>
      <xdr:colOff>259473</xdr:colOff>
      <xdr:row>17</xdr:row>
      <xdr:rowOff>161925</xdr:rowOff>
    </xdr:from>
    <xdr:to>
      <xdr:col>7</xdr:col>
      <xdr:colOff>561975</xdr:colOff>
      <xdr:row>28</xdr:row>
      <xdr:rowOff>20862</xdr:rowOff>
    </xdr:to>
    <xdr:grpSp>
      <xdr:nvGrpSpPr>
        <xdr:cNvPr id="6" name="Groep 5">
          <a:hlinkClick xmlns:r="http://schemas.openxmlformats.org/officeDocument/2006/relationships" r:id="rId4" tooltip="Kan ik deelnemen?"/>
          <a:extLst>
            <a:ext uri="{FF2B5EF4-FFF2-40B4-BE49-F238E27FC236}">
              <a16:creationId xmlns:a16="http://schemas.microsoft.com/office/drawing/2014/main" id="{472C8354-74F8-04DE-7515-B50545190422}"/>
            </a:ext>
          </a:extLst>
        </xdr:cNvPr>
        <xdr:cNvGrpSpPr/>
      </xdr:nvGrpSpPr>
      <xdr:grpSpPr>
        <a:xfrm>
          <a:off x="6984123" y="3448050"/>
          <a:ext cx="1588377" cy="1849662"/>
          <a:chOff x="13445883" y="3962400"/>
          <a:chExt cx="1533132" cy="1849662"/>
        </a:xfrm>
      </xdr:grpSpPr>
      <xdr:sp macro="" textlink="">
        <xdr:nvSpPr>
          <xdr:cNvPr id="141" name="Shape 63">
            <a:extLst>
              <a:ext uri="{FF2B5EF4-FFF2-40B4-BE49-F238E27FC236}">
                <a16:creationId xmlns:a16="http://schemas.microsoft.com/office/drawing/2014/main" id="{BCD8428E-6E51-225E-740A-61E42E2EACC3}"/>
              </a:ext>
            </a:extLst>
          </xdr:cNvPr>
          <xdr:cNvSpPr/>
        </xdr:nvSpPr>
        <xdr:spPr>
          <a:xfrm>
            <a:off x="13445883" y="3962400"/>
            <a:ext cx="1533132" cy="1849662"/>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sp macro="" textlink="">
        <xdr:nvSpPr>
          <xdr:cNvPr id="230" name="Graphic 6" descr="Rekenmachine met effen opvulling">
            <a:hlinkClick xmlns:r="http://schemas.openxmlformats.org/officeDocument/2006/relationships" r:id="rId4" tooltip="Tool"/>
            <a:extLst>
              <a:ext uri="{FF2B5EF4-FFF2-40B4-BE49-F238E27FC236}">
                <a16:creationId xmlns:a16="http://schemas.microsoft.com/office/drawing/2014/main" id="{90034982-72A4-4C06-A33D-A8EF59AA17A4}"/>
              </a:ext>
            </a:extLst>
          </xdr:cNvPr>
          <xdr:cNvSpPr/>
        </xdr:nvSpPr>
        <xdr:spPr>
          <a:xfrm>
            <a:off x="14039927" y="4264183"/>
            <a:ext cx="397986" cy="568007"/>
          </a:xfrm>
          <a:custGeom>
            <a:avLst/>
            <a:gdLst>
              <a:gd name="connsiteX0" fmla="*/ 333177 w 405606"/>
              <a:gd name="connsiteY0" fmla="*/ 188317 h 579437"/>
              <a:gd name="connsiteX1" fmla="*/ 72430 w 405606"/>
              <a:gd name="connsiteY1" fmla="*/ 188317 h 579437"/>
              <a:gd name="connsiteX2" fmla="*/ 72430 w 405606"/>
              <a:gd name="connsiteY2" fmla="*/ 72430 h 579437"/>
              <a:gd name="connsiteX3" fmla="*/ 333177 w 405606"/>
              <a:gd name="connsiteY3" fmla="*/ 72430 h 579437"/>
              <a:gd name="connsiteX4" fmla="*/ 333177 w 405606"/>
              <a:gd name="connsiteY4" fmla="*/ 188317 h 579437"/>
              <a:gd name="connsiteX5" fmla="*/ 333177 w 405606"/>
              <a:gd name="connsiteY5" fmla="*/ 289719 h 579437"/>
              <a:gd name="connsiteX6" fmla="*/ 289719 w 405606"/>
              <a:gd name="connsiteY6" fmla="*/ 289719 h 579437"/>
              <a:gd name="connsiteX7" fmla="*/ 289719 w 405606"/>
              <a:gd name="connsiteY7" fmla="*/ 246261 h 579437"/>
              <a:gd name="connsiteX8" fmla="*/ 333177 w 405606"/>
              <a:gd name="connsiteY8" fmla="*/ 246261 h 579437"/>
              <a:gd name="connsiteX9" fmla="*/ 333177 w 405606"/>
              <a:gd name="connsiteY9" fmla="*/ 289719 h 579437"/>
              <a:gd name="connsiteX10" fmla="*/ 333177 w 405606"/>
              <a:gd name="connsiteY10" fmla="*/ 362148 h 579437"/>
              <a:gd name="connsiteX11" fmla="*/ 289719 w 405606"/>
              <a:gd name="connsiteY11" fmla="*/ 362148 h 579437"/>
              <a:gd name="connsiteX12" fmla="*/ 289719 w 405606"/>
              <a:gd name="connsiteY12" fmla="*/ 318691 h 579437"/>
              <a:gd name="connsiteX13" fmla="*/ 333177 w 405606"/>
              <a:gd name="connsiteY13" fmla="*/ 318691 h 579437"/>
              <a:gd name="connsiteX14" fmla="*/ 333177 w 405606"/>
              <a:gd name="connsiteY14" fmla="*/ 362148 h 579437"/>
              <a:gd name="connsiteX15" fmla="*/ 333177 w 405606"/>
              <a:gd name="connsiteY15" fmla="*/ 434578 h 579437"/>
              <a:gd name="connsiteX16" fmla="*/ 289719 w 405606"/>
              <a:gd name="connsiteY16" fmla="*/ 434578 h 579437"/>
              <a:gd name="connsiteX17" fmla="*/ 289719 w 405606"/>
              <a:gd name="connsiteY17" fmla="*/ 391120 h 579437"/>
              <a:gd name="connsiteX18" fmla="*/ 333177 w 405606"/>
              <a:gd name="connsiteY18" fmla="*/ 391120 h 579437"/>
              <a:gd name="connsiteX19" fmla="*/ 333177 w 405606"/>
              <a:gd name="connsiteY19" fmla="*/ 434578 h 579437"/>
              <a:gd name="connsiteX20" fmla="*/ 333177 w 405606"/>
              <a:gd name="connsiteY20" fmla="*/ 507008 h 579437"/>
              <a:gd name="connsiteX21" fmla="*/ 289719 w 405606"/>
              <a:gd name="connsiteY21" fmla="*/ 507008 h 579437"/>
              <a:gd name="connsiteX22" fmla="*/ 289719 w 405606"/>
              <a:gd name="connsiteY22" fmla="*/ 463550 h 579437"/>
              <a:gd name="connsiteX23" fmla="*/ 333177 w 405606"/>
              <a:gd name="connsiteY23" fmla="*/ 463550 h 579437"/>
              <a:gd name="connsiteX24" fmla="*/ 333177 w 405606"/>
              <a:gd name="connsiteY24" fmla="*/ 507008 h 579437"/>
              <a:gd name="connsiteX25" fmla="*/ 260747 w 405606"/>
              <a:gd name="connsiteY25" fmla="*/ 289719 h 579437"/>
              <a:gd name="connsiteX26" fmla="*/ 217289 w 405606"/>
              <a:gd name="connsiteY26" fmla="*/ 289719 h 579437"/>
              <a:gd name="connsiteX27" fmla="*/ 217289 w 405606"/>
              <a:gd name="connsiteY27" fmla="*/ 246261 h 579437"/>
              <a:gd name="connsiteX28" fmla="*/ 260747 w 405606"/>
              <a:gd name="connsiteY28" fmla="*/ 246261 h 579437"/>
              <a:gd name="connsiteX29" fmla="*/ 260747 w 405606"/>
              <a:gd name="connsiteY29" fmla="*/ 289719 h 579437"/>
              <a:gd name="connsiteX30" fmla="*/ 260747 w 405606"/>
              <a:gd name="connsiteY30" fmla="*/ 362148 h 579437"/>
              <a:gd name="connsiteX31" fmla="*/ 217289 w 405606"/>
              <a:gd name="connsiteY31" fmla="*/ 362148 h 579437"/>
              <a:gd name="connsiteX32" fmla="*/ 217289 w 405606"/>
              <a:gd name="connsiteY32" fmla="*/ 318691 h 579437"/>
              <a:gd name="connsiteX33" fmla="*/ 260747 w 405606"/>
              <a:gd name="connsiteY33" fmla="*/ 318691 h 579437"/>
              <a:gd name="connsiteX34" fmla="*/ 260747 w 405606"/>
              <a:gd name="connsiteY34" fmla="*/ 362148 h 579437"/>
              <a:gd name="connsiteX35" fmla="*/ 260747 w 405606"/>
              <a:gd name="connsiteY35" fmla="*/ 434578 h 579437"/>
              <a:gd name="connsiteX36" fmla="*/ 217289 w 405606"/>
              <a:gd name="connsiteY36" fmla="*/ 434578 h 579437"/>
              <a:gd name="connsiteX37" fmla="*/ 217289 w 405606"/>
              <a:gd name="connsiteY37" fmla="*/ 391120 h 579437"/>
              <a:gd name="connsiteX38" fmla="*/ 260747 w 405606"/>
              <a:gd name="connsiteY38" fmla="*/ 391120 h 579437"/>
              <a:gd name="connsiteX39" fmla="*/ 260747 w 405606"/>
              <a:gd name="connsiteY39" fmla="*/ 434578 h 579437"/>
              <a:gd name="connsiteX40" fmla="*/ 260747 w 405606"/>
              <a:gd name="connsiteY40" fmla="*/ 507008 h 579437"/>
              <a:gd name="connsiteX41" fmla="*/ 217289 w 405606"/>
              <a:gd name="connsiteY41" fmla="*/ 507008 h 579437"/>
              <a:gd name="connsiteX42" fmla="*/ 217289 w 405606"/>
              <a:gd name="connsiteY42" fmla="*/ 463550 h 579437"/>
              <a:gd name="connsiteX43" fmla="*/ 260747 w 405606"/>
              <a:gd name="connsiteY43" fmla="*/ 463550 h 579437"/>
              <a:gd name="connsiteX44" fmla="*/ 260747 w 405606"/>
              <a:gd name="connsiteY44" fmla="*/ 507008 h 579437"/>
              <a:gd name="connsiteX45" fmla="*/ 188317 w 405606"/>
              <a:gd name="connsiteY45" fmla="*/ 289719 h 579437"/>
              <a:gd name="connsiteX46" fmla="*/ 144859 w 405606"/>
              <a:gd name="connsiteY46" fmla="*/ 289719 h 579437"/>
              <a:gd name="connsiteX47" fmla="*/ 144859 w 405606"/>
              <a:gd name="connsiteY47" fmla="*/ 246261 h 579437"/>
              <a:gd name="connsiteX48" fmla="*/ 188317 w 405606"/>
              <a:gd name="connsiteY48" fmla="*/ 246261 h 579437"/>
              <a:gd name="connsiteX49" fmla="*/ 188317 w 405606"/>
              <a:gd name="connsiteY49" fmla="*/ 289719 h 579437"/>
              <a:gd name="connsiteX50" fmla="*/ 188317 w 405606"/>
              <a:gd name="connsiteY50" fmla="*/ 362148 h 579437"/>
              <a:gd name="connsiteX51" fmla="*/ 144859 w 405606"/>
              <a:gd name="connsiteY51" fmla="*/ 362148 h 579437"/>
              <a:gd name="connsiteX52" fmla="*/ 144859 w 405606"/>
              <a:gd name="connsiteY52" fmla="*/ 318691 h 579437"/>
              <a:gd name="connsiteX53" fmla="*/ 188317 w 405606"/>
              <a:gd name="connsiteY53" fmla="*/ 318691 h 579437"/>
              <a:gd name="connsiteX54" fmla="*/ 188317 w 405606"/>
              <a:gd name="connsiteY54" fmla="*/ 362148 h 579437"/>
              <a:gd name="connsiteX55" fmla="*/ 188317 w 405606"/>
              <a:gd name="connsiteY55" fmla="*/ 434578 h 579437"/>
              <a:gd name="connsiteX56" fmla="*/ 144859 w 405606"/>
              <a:gd name="connsiteY56" fmla="*/ 434578 h 579437"/>
              <a:gd name="connsiteX57" fmla="*/ 144859 w 405606"/>
              <a:gd name="connsiteY57" fmla="*/ 391120 h 579437"/>
              <a:gd name="connsiteX58" fmla="*/ 188317 w 405606"/>
              <a:gd name="connsiteY58" fmla="*/ 391120 h 579437"/>
              <a:gd name="connsiteX59" fmla="*/ 188317 w 405606"/>
              <a:gd name="connsiteY59" fmla="*/ 434578 h 579437"/>
              <a:gd name="connsiteX60" fmla="*/ 188317 w 405606"/>
              <a:gd name="connsiteY60" fmla="*/ 507008 h 579437"/>
              <a:gd name="connsiteX61" fmla="*/ 72430 w 405606"/>
              <a:gd name="connsiteY61" fmla="*/ 507008 h 579437"/>
              <a:gd name="connsiteX62" fmla="*/ 72430 w 405606"/>
              <a:gd name="connsiteY62" fmla="*/ 463550 h 579437"/>
              <a:gd name="connsiteX63" fmla="*/ 188317 w 405606"/>
              <a:gd name="connsiteY63" fmla="*/ 463550 h 579437"/>
              <a:gd name="connsiteX64" fmla="*/ 188317 w 405606"/>
              <a:gd name="connsiteY64" fmla="*/ 507008 h 579437"/>
              <a:gd name="connsiteX65" fmla="*/ 72430 w 405606"/>
              <a:gd name="connsiteY65" fmla="*/ 391120 h 579437"/>
              <a:gd name="connsiteX66" fmla="*/ 115888 w 405606"/>
              <a:gd name="connsiteY66" fmla="*/ 391120 h 579437"/>
              <a:gd name="connsiteX67" fmla="*/ 115888 w 405606"/>
              <a:gd name="connsiteY67" fmla="*/ 434578 h 579437"/>
              <a:gd name="connsiteX68" fmla="*/ 72430 w 405606"/>
              <a:gd name="connsiteY68" fmla="*/ 434578 h 579437"/>
              <a:gd name="connsiteX69" fmla="*/ 72430 w 405606"/>
              <a:gd name="connsiteY69" fmla="*/ 391120 h 579437"/>
              <a:gd name="connsiteX70" fmla="*/ 72430 w 405606"/>
              <a:gd name="connsiteY70" fmla="*/ 318691 h 579437"/>
              <a:gd name="connsiteX71" fmla="*/ 115888 w 405606"/>
              <a:gd name="connsiteY71" fmla="*/ 318691 h 579437"/>
              <a:gd name="connsiteX72" fmla="*/ 115888 w 405606"/>
              <a:gd name="connsiteY72" fmla="*/ 362148 h 579437"/>
              <a:gd name="connsiteX73" fmla="*/ 72430 w 405606"/>
              <a:gd name="connsiteY73" fmla="*/ 362148 h 579437"/>
              <a:gd name="connsiteX74" fmla="*/ 72430 w 405606"/>
              <a:gd name="connsiteY74" fmla="*/ 318691 h 579437"/>
              <a:gd name="connsiteX75" fmla="*/ 72430 w 405606"/>
              <a:gd name="connsiteY75" fmla="*/ 246261 h 579437"/>
              <a:gd name="connsiteX76" fmla="*/ 115888 w 405606"/>
              <a:gd name="connsiteY76" fmla="*/ 246261 h 579437"/>
              <a:gd name="connsiteX77" fmla="*/ 115888 w 405606"/>
              <a:gd name="connsiteY77" fmla="*/ 289719 h 579437"/>
              <a:gd name="connsiteX78" fmla="*/ 72430 w 405606"/>
              <a:gd name="connsiteY78" fmla="*/ 289719 h 579437"/>
              <a:gd name="connsiteX79" fmla="*/ 72430 w 405606"/>
              <a:gd name="connsiteY79" fmla="*/ 246261 h 579437"/>
              <a:gd name="connsiteX80" fmla="*/ 376634 w 405606"/>
              <a:gd name="connsiteY80" fmla="*/ 0 h 579437"/>
              <a:gd name="connsiteX81" fmla="*/ 28972 w 405606"/>
              <a:gd name="connsiteY81" fmla="*/ 0 h 579437"/>
              <a:gd name="connsiteX82" fmla="*/ 0 w 405606"/>
              <a:gd name="connsiteY82" fmla="*/ 28972 h 579437"/>
              <a:gd name="connsiteX83" fmla="*/ 0 w 405606"/>
              <a:gd name="connsiteY83" fmla="*/ 550466 h 579437"/>
              <a:gd name="connsiteX84" fmla="*/ 28972 w 405606"/>
              <a:gd name="connsiteY84" fmla="*/ 579438 h 579437"/>
              <a:gd name="connsiteX85" fmla="*/ 376634 w 405606"/>
              <a:gd name="connsiteY85" fmla="*/ 579438 h 579437"/>
              <a:gd name="connsiteX86" fmla="*/ 405606 w 405606"/>
              <a:gd name="connsiteY86" fmla="*/ 550466 h 579437"/>
              <a:gd name="connsiteX87" fmla="*/ 405606 w 405606"/>
              <a:gd name="connsiteY87" fmla="*/ 28972 h 579437"/>
              <a:gd name="connsiteX88" fmla="*/ 376634 w 405606"/>
              <a:gd name="connsiteY88" fmla="*/ 0 h 5794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Lst>
            <a:rect l="l" t="t" r="r" b="b"/>
            <a:pathLst>
              <a:path w="405606" h="579437">
                <a:moveTo>
                  <a:pt x="333177" y="188317"/>
                </a:moveTo>
                <a:lnTo>
                  <a:pt x="72430" y="188317"/>
                </a:lnTo>
                <a:lnTo>
                  <a:pt x="72430" y="72430"/>
                </a:lnTo>
                <a:lnTo>
                  <a:pt x="333177" y="72430"/>
                </a:lnTo>
                <a:lnTo>
                  <a:pt x="333177" y="188317"/>
                </a:lnTo>
                <a:close/>
                <a:moveTo>
                  <a:pt x="333177" y="289719"/>
                </a:moveTo>
                <a:lnTo>
                  <a:pt x="289719" y="289719"/>
                </a:lnTo>
                <a:lnTo>
                  <a:pt x="289719" y="246261"/>
                </a:lnTo>
                <a:lnTo>
                  <a:pt x="333177" y="246261"/>
                </a:lnTo>
                <a:lnTo>
                  <a:pt x="333177" y="289719"/>
                </a:lnTo>
                <a:close/>
                <a:moveTo>
                  <a:pt x="333177" y="362148"/>
                </a:moveTo>
                <a:lnTo>
                  <a:pt x="289719" y="362148"/>
                </a:lnTo>
                <a:lnTo>
                  <a:pt x="289719" y="318691"/>
                </a:lnTo>
                <a:lnTo>
                  <a:pt x="333177" y="318691"/>
                </a:lnTo>
                <a:lnTo>
                  <a:pt x="333177" y="362148"/>
                </a:lnTo>
                <a:close/>
                <a:moveTo>
                  <a:pt x="333177" y="434578"/>
                </a:moveTo>
                <a:lnTo>
                  <a:pt x="289719" y="434578"/>
                </a:lnTo>
                <a:lnTo>
                  <a:pt x="289719" y="391120"/>
                </a:lnTo>
                <a:lnTo>
                  <a:pt x="333177" y="391120"/>
                </a:lnTo>
                <a:lnTo>
                  <a:pt x="333177" y="434578"/>
                </a:lnTo>
                <a:close/>
                <a:moveTo>
                  <a:pt x="333177" y="507008"/>
                </a:moveTo>
                <a:lnTo>
                  <a:pt x="289719" y="507008"/>
                </a:lnTo>
                <a:lnTo>
                  <a:pt x="289719" y="463550"/>
                </a:lnTo>
                <a:lnTo>
                  <a:pt x="333177" y="463550"/>
                </a:lnTo>
                <a:lnTo>
                  <a:pt x="333177" y="507008"/>
                </a:lnTo>
                <a:close/>
                <a:moveTo>
                  <a:pt x="260747" y="289719"/>
                </a:moveTo>
                <a:lnTo>
                  <a:pt x="217289" y="289719"/>
                </a:lnTo>
                <a:lnTo>
                  <a:pt x="217289" y="246261"/>
                </a:lnTo>
                <a:lnTo>
                  <a:pt x="260747" y="246261"/>
                </a:lnTo>
                <a:lnTo>
                  <a:pt x="260747" y="289719"/>
                </a:lnTo>
                <a:close/>
                <a:moveTo>
                  <a:pt x="260747" y="362148"/>
                </a:moveTo>
                <a:lnTo>
                  <a:pt x="217289" y="362148"/>
                </a:lnTo>
                <a:lnTo>
                  <a:pt x="217289" y="318691"/>
                </a:lnTo>
                <a:lnTo>
                  <a:pt x="260747" y="318691"/>
                </a:lnTo>
                <a:lnTo>
                  <a:pt x="260747" y="362148"/>
                </a:lnTo>
                <a:close/>
                <a:moveTo>
                  <a:pt x="260747" y="434578"/>
                </a:moveTo>
                <a:lnTo>
                  <a:pt x="217289" y="434578"/>
                </a:lnTo>
                <a:lnTo>
                  <a:pt x="217289" y="391120"/>
                </a:lnTo>
                <a:lnTo>
                  <a:pt x="260747" y="391120"/>
                </a:lnTo>
                <a:lnTo>
                  <a:pt x="260747" y="434578"/>
                </a:lnTo>
                <a:close/>
                <a:moveTo>
                  <a:pt x="260747" y="507008"/>
                </a:moveTo>
                <a:lnTo>
                  <a:pt x="217289" y="507008"/>
                </a:lnTo>
                <a:lnTo>
                  <a:pt x="217289" y="463550"/>
                </a:lnTo>
                <a:lnTo>
                  <a:pt x="260747" y="463550"/>
                </a:lnTo>
                <a:lnTo>
                  <a:pt x="260747" y="507008"/>
                </a:lnTo>
                <a:close/>
                <a:moveTo>
                  <a:pt x="188317" y="289719"/>
                </a:moveTo>
                <a:lnTo>
                  <a:pt x="144859" y="289719"/>
                </a:lnTo>
                <a:lnTo>
                  <a:pt x="144859" y="246261"/>
                </a:lnTo>
                <a:lnTo>
                  <a:pt x="188317" y="246261"/>
                </a:lnTo>
                <a:lnTo>
                  <a:pt x="188317" y="289719"/>
                </a:lnTo>
                <a:close/>
                <a:moveTo>
                  <a:pt x="188317" y="362148"/>
                </a:moveTo>
                <a:lnTo>
                  <a:pt x="144859" y="362148"/>
                </a:lnTo>
                <a:lnTo>
                  <a:pt x="144859" y="318691"/>
                </a:lnTo>
                <a:lnTo>
                  <a:pt x="188317" y="318691"/>
                </a:lnTo>
                <a:lnTo>
                  <a:pt x="188317" y="362148"/>
                </a:lnTo>
                <a:close/>
                <a:moveTo>
                  <a:pt x="188317" y="434578"/>
                </a:moveTo>
                <a:lnTo>
                  <a:pt x="144859" y="434578"/>
                </a:lnTo>
                <a:lnTo>
                  <a:pt x="144859" y="391120"/>
                </a:lnTo>
                <a:lnTo>
                  <a:pt x="188317" y="391120"/>
                </a:lnTo>
                <a:lnTo>
                  <a:pt x="188317" y="434578"/>
                </a:lnTo>
                <a:close/>
                <a:moveTo>
                  <a:pt x="188317" y="507008"/>
                </a:moveTo>
                <a:lnTo>
                  <a:pt x="72430" y="507008"/>
                </a:lnTo>
                <a:lnTo>
                  <a:pt x="72430" y="463550"/>
                </a:lnTo>
                <a:lnTo>
                  <a:pt x="188317" y="463550"/>
                </a:lnTo>
                <a:lnTo>
                  <a:pt x="188317" y="507008"/>
                </a:lnTo>
                <a:close/>
                <a:moveTo>
                  <a:pt x="72430" y="391120"/>
                </a:moveTo>
                <a:lnTo>
                  <a:pt x="115888" y="391120"/>
                </a:lnTo>
                <a:lnTo>
                  <a:pt x="115888" y="434578"/>
                </a:lnTo>
                <a:lnTo>
                  <a:pt x="72430" y="434578"/>
                </a:lnTo>
                <a:lnTo>
                  <a:pt x="72430" y="391120"/>
                </a:lnTo>
                <a:close/>
                <a:moveTo>
                  <a:pt x="72430" y="318691"/>
                </a:moveTo>
                <a:lnTo>
                  <a:pt x="115888" y="318691"/>
                </a:lnTo>
                <a:lnTo>
                  <a:pt x="115888" y="362148"/>
                </a:lnTo>
                <a:lnTo>
                  <a:pt x="72430" y="362148"/>
                </a:lnTo>
                <a:lnTo>
                  <a:pt x="72430" y="318691"/>
                </a:lnTo>
                <a:close/>
                <a:moveTo>
                  <a:pt x="72430" y="246261"/>
                </a:moveTo>
                <a:lnTo>
                  <a:pt x="115888" y="246261"/>
                </a:lnTo>
                <a:lnTo>
                  <a:pt x="115888" y="289719"/>
                </a:lnTo>
                <a:lnTo>
                  <a:pt x="72430" y="289719"/>
                </a:lnTo>
                <a:lnTo>
                  <a:pt x="72430" y="246261"/>
                </a:lnTo>
                <a:close/>
                <a:moveTo>
                  <a:pt x="376634" y="0"/>
                </a:moveTo>
                <a:lnTo>
                  <a:pt x="28972" y="0"/>
                </a:lnTo>
                <a:cubicBezTo>
                  <a:pt x="13037" y="0"/>
                  <a:pt x="0" y="13037"/>
                  <a:pt x="0" y="28972"/>
                </a:cubicBezTo>
                <a:lnTo>
                  <a:pt x="0" y="550466"/>
                </a:lnTo>
                <a:cubicBezTo>
                  <a:pt x="0" y="566400"/>
                  <a:pt x="13037" y="579438"/>
                  <a:pt x="28972" y="579438"/>
                </a:cubicBezTo>
                <a:lnTo>
                  <a:pt x="376634" y="579438"/>
                </a:lnTo>
                <a:cubicBezTo>
                  <a:pt x="392569" y="579438"/>
                  <a:pt x="405606" y="566400"/>
                  <a:pt x="405606" y="550466"/>
                </a:cubicBezTo>
                <a:lnTo>
                  <a:pt x="405606" y="28972"/>
                </a:lnTo>
                <a:cubicBezTo>
                  <a:pt x="405606" y="13037"/>
                  <a:pt x="392569" y="0"/>
                  <a:pt x="376634" y="0"/>
                </a:cubicBezTo>
                <a:close/>
              </a:path>
            </a:pathLst>
          </a:custGeom>
          <a:solidFill>
            <a:srgbClr val="FFFFFF"/>
          </a:solidFill>
          <a:ln w="6945" cap="flat">
            <a:noFill/>
            <a:prstDash val="solid"/>
            <a:miter/>
          </a:ln>
        </xdr:spPr>
        <xdr:txBody>
          <a:bodyPr rtlCol="0" anchor="ctr"/>
          <a:lstStyle/>
          <a:p>
            <a:endParaRPr lang="nl-NL"/>
          </a:p>
        </xdr:txBody>
      </xdr:sp>
      <xdr:sp macro="" textlink="">
        <xdr:nvSpPr>
          <xdr:cNvPr id="229" name="Tekstvak 137">
            <a:extLst>
              <a:ext uri="{FF2B5EF4-FFF2-40B4-BE49-F238E27FC236}">
                <a16:creationId xmlns:a16="http://schemas.microsoft.com/office/drawing/2014/main" id="{49242559-6B5D-8621-D32E-DCB518E7B8D0}"/>
              </a:ext>
            </a:extLst>
          </xdr:cNvPr>
          <xdr:cNvSpPr txBox="1"/>
        </xdr:nvSpPr>
        <xdr:spPr>
          <a:xfrm>
            <a:off x="13858876" y="4895850"/>
            <a:ext cx="714375" cy="462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b="0">
                <a:solidFill>
                  <a:schemeClr val="bg1"/>
                </a:solidFill>
              </a:rPr>
              <a:t>Tool</a:t>
            </a:r>
          </a:p>
        </xdr:txBody>
      </xdr:sp>
    </xdr:grpSp>
    <xdr:clientData/>
  </xdr:twoCellAnchor>
  <xdr:twoCellAnchor>
    <xdr:from>
      <xdr:col>5</xdr:col>
      <xdr:colOff>268867</xdr:colOff>
      <xdr:row>8</xdr:row>
      <xdr:rowOff>0</xdr:rowOff>
    </xdr:from>
    <xdr:to>
      <xdr:col>7</xdr:col>
      <xdr:colOff>586740</xdr:colOff>
      <xdr:row>18</xdr:row>
      <xdr:rowOff>36102</xdr:rowOff>
    </xdr:to>
    <xdr:grpSp>
      <xdr:nvGrpSpPr>
        <xdr:cNvPr id="11" name="Groep 4">
          <a:hlinkClick xmlns:r="http://schemas.openxmlformats.org/officeDocument/2006/relationships" r:id="rId5" tooltip="Gevolgen van deelname"/>
          <a:extLst>
            <a:ext uri="{FF2B5EF4-FFF2-40B4-BE49-F238E27FC236}">
              <a16:creationId xmlns:a16="http://schemas.microsoft.com/office/drawing/2014/main" id="{C25E54CE-19D2-9136-FD08-7B21AB8C661B}"/>
            </a:ext>
          </a:extLst>
        </xdr:cNvPr>
        <xdr:cNvGrpSpPr/>
      </xdr:nvGrpSpPr>
      <xdr:grpSpPr>
        <a:xfrm>
          <a:off x="6993517" y="1657350"/>
          <a:ext cx="1603748" cy="1845852"/>
          <a:chOff x="11733157" y="4008120"/>
          <a:chExt cx="1561838" cy="1851567"/>
        </a:xfrm>
      </xdr:grpSpPr>
      <xdr:sp macro="" textlink="">
        <xdr:nvSpPr>
          <xdr:cNvPr id="12" name="Shape 60">
            <a:extLst>
              <a:ext uri="{FF2B5EF4-FFF2-40B4-BE49-F238E27FC236}">
                <a16:creationId xmlns:a16="http://schemas.microsoft.com/office/drawing/2014/main" id="{FA13F343-9421-249A-D00C-050940E0AF03}"/>
              </a:ext>
            </a:extLst>
          </xdr:cNvPr>
          <xdr:cNvSpPr/>
        </xdr:nvSpPr>
        <xdr:spPr>
          <a:xfrm>
            <a:off x="11733157" y="4008120"/>
            <a:ext cx="1525512" cy="1851567"/>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ln w="0" cap="flat">
            <a:miter lim="127000"/>
          </a:ln>
        </xdr:spPr>
        <xdr:style>
          <a:lnRef idx="0">
            <a:srgbClr val="000000">
              <a:alpha val="0"/>
            </a:srgbClr>
          </a:lnRef>
          <a:fillRef idx="1">
            <a:srgbClr val="E30150"/>
          </a:fillRef>
          <a:effectRef idx="0">
            <a:scrgbClr r="0" g="0" b="0"/>
          </a:effectRef>
          <a:fontRef idx="none"/>
        </xdr:style>
        <xdr:txBody>
          <a:bodyPr wrap="square"/>
          <a:lstStyle/>
          <a:p>
            <a:endParaRPr lang="nl-NL"/>
          </a:p>
        </xdr:txBody>
      </xdr:sp>
      <xdr:pic>
        <xdr:nvPicPr>
          <xdr:cNvPr id="13" name="Graphic 15" descr="Informatie met effen opvulling">
            <a:extLst>
              <a:ext uri="{FF2B5EF4-FFF2-40B4-BE49-F238E27FC236}">
                <a16:creationId xmlns:a16="http://schemas.microsoft.com/office/drawing/2014/main" id="{51AC91D6-B4A3-C039-7810-E54F4732A49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2161117" y="4202319"/>
            <a:ext cx="617715" cy="604380"/>
          </a:xfrm>
          <a:prstGeom prst="rect">
            <a:avLst/>
          </a:prstGeom>
        </xdr:spPr>
      </xdr:pic>
      <xdr:sp macro="" textlink="">
        <xdr:nvSpPr>
          <xdr:cNvPr id="14" name="Tekstvak 151">
            <a:hlinkClick xmlns:r="http://schemas.openxmlformats.org/officeDocument/2006/relationships" r:id="rId5" tooltip="Gevolgen van deelname"/>
            <a:extLst>
              <a:ext uri="{FF2B5EF4-FFF2-40B4-BE49-F238E27FC236}">
                <a16:creationId xmlns:a16="http://schemas.microsoft.com/office/drawing/2014/main" id="{707AC1AF-2BA1-41E9-9071-750A1B3F0C9D}"/>
              </a:ext>
            </a:extLst>
          </xdr:cNvPr>
          <xdr:cNvSpPr txBox="1"/>
        </xdr:nvSpPr>
        <xdr:spPr>
          <a:xfrm>
            <a:off x="11788141" y="4764405"/>
            <a:ext cx="1506854" cy="664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b="0">
                <a:solidFill>
                  <a:schemeClr val="bg1"/>
                </a:solidFill>
              </a:rPr>
              <a:t>Gevolgen</a:t>
            </a:r>
            <a:r>
              <a:rPr lang="nl-NL" sz="1800" b="0" baseline="0">
                <a:solidFill>
                  <a:schemeClr val="bg1"/>
                </a:solidFill>
              </a:rPr>
              <a:t> van deelname</a:t>
            </a:r>
            <a:endParaRPr lang="nl-NL" sz="1800" b="0">
              <a:solidFill>
                <a:schemeClr val="bg1"/>
              </a:solidFill>
            </a:endParaRPr>
          </a:p>
        </xdr:txBody>
      </xdr:sp>
    </xdr:grpSp>
    <xdr:clientData/>
  </xdr:twoCellAnchor>
  <xdr:twoCellAnchor>
    <xdr:from>
      <xdr:col>2</xdr:col>
      <xdr:colOff>361740</xdr:colOff>
      <xdr:row>17</xdr:row>
      <xdr:rowOff>167640</xdr:rowOff>
    </xdr:from>
    <xdr:to>
      <xdr:col>5</xdr:col>
      <xdr:colOff>39402</xdr:colOff>
      <xdr:row>28</xdr:row>
      <xdr:rowOff>22767</xdr:rowOff>
    </xdr:to>
    <xdr:grpSp>
      <xdr:nvGrpSpPr>
        <xdr:cNvPr id="4" name="Groep 3">
          <a:hlinkClick xmlns:r="http://schemas.openxmlformats.org/officeDocument/2006/relationships" r:id="rId8" tooltip="Nuttige links"/>
          <a:extLst>
            <a:ext uri="{FF2B5EF4-FFF2-40B4-BE49-F238E27FC236}">
              <a16:creationId xmlns:a16="http://schemas.microsoft.com/office/drawing/2014/main" id="{6F4E6195-896B-CDEB-7BD6-546C6DC3A81E}"/>
            </a:ext>
          </a:extLst>
        </xdr:cNvPr>
        <xdr:cNvGrpSpPr/>
      </xdr:nvGrpSpPr>
      <xdr:grpSpPr>
        <a:xfrm>
          <a:off x="5157578" y="3453765"/>
          <a:ext cx="1606474" cy="1845852"/>
          <a:chOff x="9848640" y="3943350"/>
          <a:chExt cx="1536942" cy="1849662"/>
        </a:xfrm>
      </xdr:grpSpPr>
      <xdr:sp macro="" textlink="">
        <xdr:nvSpPr>
          <xdr:cNvPr id="216" name="Shape 58">
            <a:extLst>
              <a:ext uri="{FF2B5EF4-FFF2-40B4-BE49-F238E27FC236}">
                <a16:creationId xmlns:a16="http://schemas.microsoft.com/office/drawing/2014/main" id="{054A6687-DA5D-C38F-1392-08204191BF00}"/>
              </a:ext>
            </a:extLst>
          </xdr:cNvPr>
          <xdr:cNvSpPr/>
        </xdr:nvSpPr>
        <xdr:spPr>
          <a:xfrm>
            <a:off x="9848640" y="3943350"/>
            <a:ext cx="1536942" cy="1849662"/>
          </a:xfrm>
          <a:custGeom>
            <a:avLst/>
            <a:gdLst/>
            <a:ahLst/>
            <a:cxnLst/>
            <a:rect l="0" t="0" r="0" b="0"/>
            <a:pathLst>
              <a:path w="1654061" h="1984947">
                <a:moveTo>
                  <a:pt x="330771" y="0"/>
                </a:moveTo>
                <a:lnTo>
                  <a:pt x="1654061" y="0"/>
                </a:lnTo>
                <a:lnTo>
                  <a:pt x="1654061" y="1654099"/>
                </a:lnTo>
                <a:lnTo>
                  <a:pt x="330771" y="1654099"/>
                </a:lnTo>
                <a:lnTo>
                  <a:pt x="0" y="1984947"/>
                </a:lnTo>
                <a:lnTo>
                  <a:pt x="0" y="330848"/>
                </a:lnTo>
                <a:lnTo>
                  <a:pt x="330771" y="0"/>
                </a:lnTo>
                <a:close/>
              </a:path>
            </a:pathLst>
          </a:custGeom>
          <a:ln w="0" cap="flat">
            <a:miter lim="127000"/>
          </a:ln>
        </xdr:spPr>
        <xdr:style>
          <a:lnRef idx="0">
            <a:srgbClr val="000000">
              <a:alpha val="0"/>
            </a:srgbClr>
          </a:lnRef>
          <a:fillRef idx="1">
            <a:srgbClr val="82449C"/>
          </a:fillRef>
          <a:effectRef idx="0">
            <a:scrgbClr r="0" g="0" b="0"/>
          </a:effectRef>
          <a:fontRef idx="none"/>
        </xdr:style>
        <xdr:txBody>
          <a:bodyPr wrap="square"/>
          <a:lstStyle/>
          <a:p>
            <a:endParaRPr lang="nl-NL"/>
          </a:p>
        </xdr:txBody>
      </xdr:sp>
      <xdr:pic>
        <xdr:nvPicPr>
          <xdr:cNvPr id="215" name="Graphic 4" descr="Wegwijzer met effen opvulling">
            <a:hlinkClick xmlns:r="http://schemas.openxmlformats.org/officeDocument/2006/relationships" r:id="rId8" tooltip="Nuttige links"/>
            <a:extLst>
              <a:ext uri="{FF2B5EF4-FFF2-40B4-BE49-F238E27FC236}">
                <a16:creationId xmlns:a16="http://schemas.microsoft.com/office/drawing/2014/main" id="{CC856A88-1F3E-5311-D8DB-199F3BD9A0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0145898" y="4063845"/>
            <a:ext cx="875926" cy="914151"/>
          </a:xfrm>
          <a:prstGeom prst="rect">
            <a:avLst/>
          </a:prstGeom>
        </xdr:spPr>
      </xdr:pic>
      <xdr:sp macro="" textlink="">
        <xdr:nvSpPr>
          <xdr:cNvPr id="227" name="Tekstvak 177">
            <a:extLst>
              <a:ext uri="{FF2B5EF4-FFF2-40B4-BE49-F238E27FC236}">
                <a16:creationId xmlns:a16="http://schemas.microsoft.com/office/drawing/2014/main" id="{29A42CFC-AC49-4A19-8DF4-11F2509F97BE}"/>
              </a:ext>
            </a:extLst>
          </xdr:cNvPr>
          <xdr:cNvSpPr txBox="1"/>
        </xdr:nvSpPr>
        <xdr:spPr>
          <a:xfrm>
            <a:off x="10246996" y="4926330"/>
            <a:ext cx="71437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b="0">
                <a:solidFill>
                  <a:schemeClr val="bg1"/>
                </a:solidFill>
              </a:rPr>
              <a:t>Links</a:t>
            </a:r>
          </a:p>
        </xdr:txBody>
      </xdr:sp>
    </xdr:grpSp>
    <xdr:clientData/>
  </xdr:twoCellAnchor>
  <xdr:twoCellAnchor>
    <xdr:from>
      <xdr:col>2</xdr:col>
      <xdr:colOff>354330</xdr:colOff>
      <xdr:row>8</xdr:row>
      <xdr:rowOff>2598</xdr:rowOff>
    </xdr:from>
    <xdr:to>
      <xdr:col>5</xdr:col>
      <xdr:colOff>30087</xdr:colOff>
      <xdr:row>18</xdr:row>
      <xdr:rowOff>55845</xdr:rowOff>
    </xdr:to>
    <xdr:grpSp>
      <xdr:nvGrpSpPr>
        <xdr:cNvPr id="231" name="Groep 230">
          <a:hlinkClick xmlns:r="http://schemas.openxmlformats.org/officeDocument/2006/relationships" r:id="rId11" tooltip="De regeling"/>
          <a:extLst>
            <a:ext uri="{FF2B5EF4-FFF2-40B4-BE49-F238E27FC236}">
              <a16:creationId xmlns:a16="http://schemas.microsoft.com/office/drawing/2014/main" id="{81C17647-1DD2-8AE3-D4F4-A6AB07FA1041}"/>
            </a:ext>
          </a:extLst>
        </xdr:cNvPr>
        <xdr:cNvGrpSpPr/>
      </xdr:nvGrpSpPr>
      <xdr:grpSpPr>
        <a:xfrm>
          <a:off x="5150168" y="1659948"/>
          <a:ext cx="1604569" cy="1862997"/>
          <a:chOff x="7824874" y="4110470"/>
          <a:chExt cx="1501440" cy="1954437"/>
        </a:xfrm>
      </xdr:grpSpPr>
      <xdr:sp macro="" textlink="">
        <xdr:nvSpPr>
          <xdr:cNvPr id="182" name="Shape 56">
            <a:extLst>
              <a:ext uri="{FF2B5EF4-FFF2-40B4-BE49-F238E27FC236}">
                <a16:creationId xmlns:a16="http://schemas.microsoft.com/office/drawing/2014/main" id="{54D8E0C1-3E8C-932A-7D02-2FA42C7D7A85}"/>
              </a:ext>
            </a:extLst>
          </xdr:cNvPr>
          <xdr:cNvSpPr/>
        </xdr:nvSpPr>
        <xdr:spPr>
          <a:xfrm>
            <a:off x="7824874" y="4110470"/>
            <a:ext cx="1501440" cy="1954437"/>
          </a:xfrm>
          <a:custGeom>
            <a:avLst/>
            <a:gdLst/>
            <a:ahLst/>
            <a:cxnLst/>
            <a:rect l="0" t="0" r="0" b="0"/>
            <a:pathLst>
              <a:path w="1654061" h="1984947">
                <a:moveTo>
                  <a:pt x="330771" y="0"/>
                </a:moveTo>
                <a:lnTo>
                  <a:pt x="1654061" y="0"/>
                </a:lnTo>
                <a:lnTo>
                  <a:pt x="1654061" y="1654099"/>
                </a:lnTo>
                <a:lnTo>
                  <a:pt x="330771" y="1654099"/>
                </a:lnTo>
                <a:lnTo>
                  <a:pt x="0" y="1984947"/>
                </a:lnTo>
                <a:lnTo>
                  <a:pt x="0" y="330848"/>
                </a:lnTo>
                <a:lnTo>
                  <a:pt x="330771" y="0"/>
                </a:lnTo>
                <a:close/>
              </a:path>
            </a:pathLst>
          </a:custGeom>
          <a:ln w="0" cap="flat">
            <a:miter lim="127000"/>
          </a:ln>
        </xdr:spPr>
        <xdr:style>
          <a:lnRef idx="0">
            <a:srgbClr val="000000">
              <a:alpha val="0"/>
            </a:srgbClr>
          </a:lnRef>
          <a:fillRef idx="1">
            <a:srgbClr val="0080A2"/>
          </a:fillRef>
          <a:effectRef idx="0">
            <a:scrgbClr r="0" g="0" b="0"/>
          </a:effectRef>
          <a:fontRef idx="none"/>
        </xdr:style>
        <xdr:txBody>
          <a:bodyPr wrap="square" anchor="ctr"/>
          <a:lstStyle/>
          <a:p>
            <a:pPr algn="ctr"/>
            <a:endParaRPr lang="nl-NL"/>
          </a:p>
        </xdr:txBody>
      </xdr:sp>
      <xdr:pic>
        <xdr:nvPicPr>
          <xdr:cNvPr id="161" name="Graphic 160" descr="Document met effen opvulling">
            <a:extLst>
              <a:ext uri="{FF2B5EF4-FFF2-40B4-BE49-F238E27FC236}">
                <a16:creationId xmlns:a16="http://schemas.microsoft.com/office/drawing/2014/main" id="{BA506D4B-3876-4B9E-AF9F-8CAFAB9AFF5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8299393" y="4408343"/>
            <a:ext cx="639027" cy="710977"/>
          </a:xfrm>
          <a:prstGeom prst="rect">
            <a:avLst/>
          </a:prstGeom>
        </xdr:spPr>
      </xdr:pic>
      <xdr:sp macro="" textlink="">
        <xdr:nvSpPr>
          <xdr:cNvPr id="208" name="Tekstvak 137">
            <a:extLst>
              <a:ext uri="{FF2B5EF4-FFF2-40B4-BE49-F238E27FC236}">
                <a16:creationId xmlns:a16="http://schemas.microsoft.com/office/drawing/2014/main" id="{448BBA1F-484B-4072-82F1-9E0A8B9E07C0}"/>
              </a:ext>
            </a:extLst>
          </xdr:cNvPr>
          <xdr:cNvSpPr txBox="1"/>
        </xdr:nvSpPr>
        <xdr:spPr>
          <a:xfrm>
            <a:off x="7911465" y="5149561"/>
            <a:ext cx="1353762" cy="491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800" b="0">
                <a:solidFill>
                  <a:schemeClr val="bg1"/>
                </a:solidFill>
              </a:rPr>
              <a:t>De regeling</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xdr:colOff>
      <xdr:row>67</xdr:row>
      <xdr:rowOff>29321</xdr:rowOff>
    </xdr:from>
    <xdr:to>
      <xdr:col>20</xdr:col>
      <xdr:colOff>21751</xdr:colOff>
      <xdr:row>80</xdr:row>
      <xdr:rowOff>68690</xdr:rowOff>
    </xdr:to>
    <xdr:sp macro="" textlink="">
      <xdr:nvSpPr>
        <xdr:cNvPr id="15" name="Rechthoekige driehoek 14">
          <a:extLst>
            <a:ext uri="{FF2B5EF4-FFF2-40B4-BE49-F238E27FC236}">
              <a16:creationId xmlns:a16="http://schemas.microsoft.com/office/drawing/2014/main" id="{FB639517-DB96-4218-BD94-82A755756499}"/>
            </a:ext>
          </a:extLst>
        </xdr:cNvPr>
        <xdr:cNvSpPr/>
      </xdr:nvSpPr>
      <xdr:spPr>
        <a:xfrm rot="5400000" flipH="1" flipV="1">
          <a:off x="9976912" y="11752845"/>
          <a:ext cx="2327440" cy="2465119"/>
        </a:xfrm>
        <a:prstGeom prst="rtTriangle">
          <a:avLst/>
        </a:prstGeom>
        <a:solidFill>
          <a:srgbClr val="6BBF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0</xdr:row>
      <xdr:rowOff>23813</xdr:rowOff>
    </xdr:from>
    <xdr:to>
      <xdr:col>6</xdr:col>
      <xdr:colOff>0</xdr:colOff>
      <xdr:row>18</xdr:row>
      <xdr:rowOff>11748</xdr:rowOff>
    </xdr:to>
    <xdr:sp macro="" textlink="">
      <xdr:nvSpPr>
        <xdr:cNvPr id="3" name="Rechthoekige driehoek 2">
          <a:extLst>
            <a:ext uri="{FF2B5EF4-FFF2-40B4-BE49-F238E27FC236}">
              <a16:creationId xmlns:a16="http://schemas.microsoft.com/office/drawing/2014/main" id="{B1ACFA5E-2FC0-54CE-2F6E-894873F027D2}"/>
            </a:ext>
          </a:extLst>
        </xdr:cNvPr>
        <xdr:cNvSpPr/>
      </xdr:nvSpPr>
      <xdr:spPr>
        <a:xfrm flipV="1">
          <a:off x="0" y="23813"/>
          <a:ext cx="3802063" cy="3274060"/>
        </a:xfrm>
        <a:prstGeom prst="rtTriangle">
          <a:avLst/>
        </a:prstGeom>
        <a:solidFill>
          <a:srgbClr val="6BBF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600673</xdr:colOff>
      <xdr:row>16</xdr:row>
      <xdr:rowOff>28223</xdr:rowOff>
    </xdr:from>
    <xdr:to>
      <xdr:col>17</xdr:col>
      <xdr:colOff>77234</xdr:colOff>
      <xdr:row>69</xdr:row>
      <xdr:rowOff>123825</xdr:rowOff>
    </xdr:to>
    <xdr:sp macro="" textlink="">
      <xdr:nvSpPr>
        <xdr:cNvPr id="67" name="Tekstvak 1">
          <a:extLst>
            <a:ext uri="{FF2B5EF4-FFF2-40B4-BE49-F238E27FC236}">
              <a16:creationId xmlns:a16="http://schemas.microsoft.com/office/drawing/2014/main" id="{7DBE373E-9663-5C2A-EA70-182FD7515106}"/>
            </a:ext>
          </a:extLst>
        </xdr:cNvPr>
        <xdr:cNvSpPr txBox="1">
          <a:spLocks/>
        </xdr:cNvSpPr>
      </xdr:nvSpPr>
      <xdr:spPr>
        <a:xfrm>
          <a:off x="1381723" y="2923823"/>
          <a:ext cx="9839761" cy="9687277"/>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lang="nl-NL" sz="2400" b="0">
              <a:solidFill>
                <a:srgbClr val="0080A3"/>
              </a:solidFill>
              <a:effectLst/>
              <a:latin typeface="+mn-lt"/>
              <a:ea typeface="+mn-ea"/>
              <a:cs typeface="+mn-cs"/>
            </a:rPr>
            <a:t>Het</a:t>
          </a:r>
          <a:r>
            <a:rPr lang="nl-NL" sz="2400" b="0" baseline="0">
              <a:solidFill>
                <a:srgbClr val="0080A3"/>
              </a:solidFill>
              <a:effectLst/>
              <a:latin typeface="+mn-lt"/>
              <a:ea typeface="+mn-ea"/>
              <a:cs typeface="+mn-cs"/>
            </a:rPr>
            <a:t> </a:t>
          </a:r>
          <a:r>
            <a:rPr lang="nl-NL" sz="2400" b="0">
              <a:solidFill>
                <a:srgbClr val="0080A3"/>
              </a:solidFill>
              <a:effectLst/>
              <a:latin typeface="+mn-lt"/>
              <a:ea typeface="+mn-ea"/>
              <a:cs typeface="+mn-cs"/>
            </a:rPr>
            <a:t>Generatiepact</a:t>
          </a:r>
          <a:r>
            <a:rPr lang="nl-NL" sz="2400" b="0" baseline="0">
              <a:solidFill>
                <a:srgbClr val="0080A3"/>
              </a:solidFill>
              <a:effectLst/>
              <a:latin typeface="+mn-lt"/>
              <a:ea typeface="+mn-ea"/>
              <a:cs typeface="+mn-cs"/>
            </a:rPr>
            <a:t> in </a:t>
          </a:r>
          <a:r>
            <a:rPr lang="nl-NL" sz="2400" b="0">
              <a:solidFill>
                <a:srgbClr val="0080A3"/>
              </a:solidFill>
              <a:effectLst/>
              <a:latin typeface="+mn-lt"/>
              <a:ea typeface="+mn-ea"/>
              <a:cs typeface="+mn-cs"/>
            </a:rPr>
            <a:t>de CAO GGZ uitgelegd</a:t>
          </a:r>
        </a:p>
        <a:p>
          <a:endParaRPr lang="nl-NL" sz="1400" i="0">
            <a:effectLst/>
          </a:endParaRPr>
        </a:p>
        <a:p>
          <a:r>
            <a:rPr kumimoji="0" lang="nl-NL" sz="1100" b="0" i="0" u="none" strike="noStrike" kern="0" cap="none" spc="0" normalizeH="0" baseline="0" noProof="0">
              <a:ln>
                <a:noFill/>
              </a:ln>
              <a:solidFill>
                <a:prstClr val="black"/>
              </a:solidFill>
              <a:effectLst/>
              <a:uLnTx/>
              <a:uFillTx/>
              <a:latin typeface="+mn-lt"/>
              <a:ea typeface="+mn-ea"/>
              <a:cs typeface="+mn-cs"/>
            </a:rPr>
            <a:t>Het Generatiepact houdt in dat medewerkers met een </a:t>
          </a:r>
          <a:r>
            <a:rPr kumimoji="0" lang="nl-NL" sz="1100" b="0" i="1" u="none" strike="noStrike" kern="0" cap="none" spc="0" normalizeH="0" baseline="0" noProof="0">
              <a:ln>
                <a:noFill/>
              </a:ln>
              <a:solidFill>
                <a:prstClr val="black"/>
              </a:solidFill>
              <a:effectLst/>
              <a:uLnTx/>
              <a:uFillTx/>
              <a:latin typeface="+mn-lt"/>
              <a:ea typeface="+mn-ea"/>
              <a:cs typeface="+mn-cs"/>
            </a:rPr>
            <a:t>belastende functie </a:t>
          </a:r>
          <a:r>
            <a:rPr kumimoji="0" lang="nl-NL" sz="1100" b="0" i="0" u="none" strike="noStrike" kern="0" cap="none" spc="0" normalizeH="0" baseline="0" noProof="0">
              <a:ln>
                <a:noFill/>
              </a:ln>
              <a:solidFill>
                <a:prstClr val="black"/>
              </a:solidFill>
              <a:effectLst/>
              <a:uLnTx/>
              <a:uFillTx/>
              <a:latin typeface="+mn-lt"/>
              <a:ea typeface="+mn-ea"/>
              <a:cs typeface="+mn-cs"/>
            </a:rPr>
            <a:t>die maximaal vier jaar verwijderd zijn van de AOW-gerechtigde leeftijd minder uren kunnen werken onder gunstige arbeidsvoorwaarden voor wat betreft het salaris en de pensioenopbouw.</a:t>
          </a:r>
        </a:p>
        <a:p>
          <a:endParaRPr kumimoji="0" lang="nl-NL" sz="1100" b="0" i="0" u="none" strike="noStrike" kern="0" cap="none" spc="0" normalizeH="0" baseline="0" noProof="0">
            <a:ln>
              <a:noFill/>
            </a:ln>
            <a:solidFill>
              <a:prstClr val="black"/>
            </a:solidFill>
            <a:effectLst/>
            <a:uLnTx/>
            <a:uFillTx/>
            <a:latin typeface="+mn-lt"/>
            <a:ea typeface="+mn-ea"/>
            <a:cs typeface="+mn-cs"/>
          </a:endParaRPr>
        </a:p>
        <a:p>
          <a:r>
            <a:rPr kumimoji="0" lang="nl-NL" sz="1400" b="0" i="0" u="none" strike="noStrike" kern="0" cap="none" spc="0" normalizeH="0" baseline="0" noProof="0">
              <a:ln>
                <a:noFill/>
              </a:ln>
              <a:solidFill>
                <a:srgbClr val="0080A3"/>
              </a:solidFill>
              <a:effectLst/>
              <a:uLnTx/>
              <a:uFillTx/>
              <a:latin typeface="+mn-lt"/>
              <a:ea typeface="+mn-ea"/>
              <a:cs typeface="+mn-cs"/>
            </a:rPr>
            <a:t>Wat is een belastende functie?</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prstClr val="black"/>
              </a:solidFill>
              <a:effectLst/>
              <a:uLnTx/>
              <a:uFillTx/>
              <a:latin typeface="+mn-lt"/>
              <a:ea typeface="+mn-ea"/>
              <a:cs typeface="+mn-cs"/>
            </a:rPr>
            <a:t>Je hebt in ieder geval een belastende functie als je</a:t>
          </a:r>
          <a:r>
            <a:rPr kumimoji="0" lang="nl-NL" sz="1100" b="0" i="0" u="none" strike="noStrike" kern="0" cap="none" spc="0" normalizeH="0" baseline="0" noProof="0">
              <a:ln>
                <a:noFill/>
              </a:ln>
              <a:solidFill>
                <a:sysClr val="windowText" lastClr="000000"/>
              </a:solidFill>
              <a:effectLst/>
              <a:uLnTx/>
              <a:uFillTx/>
              <a:latin typeface="+mn-lt"/>
              <a:ea typeface="+mn-ea"/>
              <a:cs typeface="+mn-cs"/>
            </a:rPr>
            <a:t> overwegend </a:t>
          </a:r>
          <a:r>
            <a:rPr kumimoji="0" lang="nl-NL" sz="1100" b="0" i="0" u="none" strike="noStrike" kern="0" cap="none" spc="0" normalizeH="0" baseline="0" noProof="0">
              <a:ln>
                <a:noFill/>
              </a:ln>
              <a:solidFill>
                <a:prstClr val="black"/>
              </a:solidFill>
              <a:effectLst/>
              <a:uLnTx/>
              <a:uFillTx/>
              <a:latin typeface="+mn-lt"/>
              <a:ea typeface="+mn-ea"/>
              <a:cs typeface="+mn-cs"/>
            </a:rPr>
            <a:t>direct cliëntgebonden taken/werkzaamheden hebt bij de begeleiding, verzorging, verpleging of behandeling of als je als beveiliger of schoonmaker werkzaam bent. Mogelijk is er in jouw organisatie (al dan niet in afstemming met de ondernemingsraad) een lijst met belastende </a:t>
          </a:r>
          <a:r>
            <a:rPr lang="nl-NL" sz="1100"/>
            <a:t>functies opgesteld. Wat onder deze definitie valt, zal namelijk per organisatie verschillen en ook de benaming van functies verschilt per organisatie.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prstClr val="black"/>
              </a:solidFill>
              <a:effectLst/>
              <a:uLnTx/>
              <a:uFillTx/>
              <a:latin typeface="+mn-lt"/>
              <a:ea typeface="+mn-ea"/>
              <a:cs typeface="+mn-cs"/>
            </a:rPr>
            <a:t>Behoor jij niet tot deze categorie medewerkers maar vind je dat je wel een belastende functie hebt, neem dan contact op met jouw werkgever om te overleggen of jij misschien toch in aanmerking kan komen voor het Generatiepact.</a:t>
          </a:r>
        </a:p>
        <a:p>
          <a:pPr marL="0" marR="0" lvl="0" indent="0" defTabSz="914400" eaLnBrk="1" fontAlgn="auto" latinLnBrk="0" hangingPunct="1">
            <a:lnSpc>
              <a:spcPct val="100000"/>
            </a:lnSpc>
            <a:spcBef>
              <a:spcPts val="0"/>
            </a:spcBef>
            <a:spcAft>
              <a:spcPts val="0"/>
            </a:spcAft>
            <a:buClrTx/>
            <a:buSzTx/>
            <a:buFontTx/>
            <a:buNone/>
            <a:tabLst/>
            <a:defRPr/>
          </a:pPr>
          <a:endParaRPr lang="nl-NL" sz="1100"/>
        </a:p>
        <a:p>
          <a:pPr marL="0" indent="0"/>
          <a:r>
            <a:rPr kumimoji="0" lang="nl-NL" sz="1400" b="0" i="0" u="none" strike="noStrike" kern="0" cap="none" spc="0" normalizeH="0" baseline="0" noProof="0">
              <a:ln>
                <a:noFill/>
              </a:ln>
              <a:solidFill>
                <a:srgbClr val="0080A3"/>
              </a:solidFill>
              <a:effectLst/>
              <a:uLnTx/>
              <a:uFillTx/>
              <a:latin typeface="+mn-lt"/>
              <a:ea typeface="+mn-ea"/>
              <a:cs typeface="+mn-cs"/>
            </a:rPr>
            <a:t>Arbeidsduur</a:t>
          </a:r>
        </a:p>
        <a:p>
          <a:r>
            <a:rPr kumimoji="0" lang="nl-NL" sz="1100" b="0" i="0" u="none" strike="noStrike" kern="0" cap="none" spc="0" normalizeH="0" baseline="0" noProof="0">
              <a:ln>
                <a:noFill/>
              </a:ln>
              <a:solidFill>
                <a:prstClr val="black"/>
              </a:solidFill>
              <a:effectLst/>
              <a:uLnTx/>
              <a:uFillTx/>
              <a:latin typeface="+mn-lt"/>
              <a:ea typeface="+mn-ea"/>
              <a:cs typeface="+mn-cs"/>
            </a:rPr>
            <a:t>Je spreekt met je werkgever af dat jouw </a:t>
          </a:r>
          <a:r>
            <a:rPr lang="nl-NL" sz="1100">
              <a:solidFill>
                <a:schemeClr val="dk1"/>
              </a:solidFill>
              <a:effectLst/>
              <a:latin typeface="+mn-lt"/>
              <a:ea typeface="+mn-ea"/>
              <a:cs typeface="+mn-cs"/>
            </a:rPr>
            <a:t>arbeidsduur wordt teruggebracht tot 80% van de overeengekomen arbeidsduur direct voorafgaand aan de ingangsdatum van de deelname. </a:t>
          </a:r>
          <a:r>
            <a:rPr lang="nl-NL" sz="1100" b="0" i="0" baseline="0">
              <a:solidFill>
                <a:schemeClr val="dk1"/>
              </a:solidFill>
              <a:effectLst/>
              <a:latin typeface="+mn-lt"/>
              <a:ea typeface="+mn-ea"/>
              <a:cs typeface="+mn-cs"/>
            </a:rPr>
            <a:t>Hierbij moet je altijd ten minste 24 uur per week blijven werken. Door het terugbrengen van de arbeidsduur worden alle met de arbeidsduur samenhangende arbeidsvoorwaarden, </a:t>
          </a:r>
          <a:r>
            <a:rPr lang="nl-NL" sz="1100">
              <a:solidFill>
                <a:schemeClr val="dk1"/>
              </a:solidFill>
              <a:effectLst/>
              <a:latin typeface="+mn-lt"/>
              <a:ea typeface="+mn-ea"/>
              <a:cs typeface="+mn-cs"/>
            </a:rPr>
            <a:t>aanspraken, plichten en rechten herberekend en opnieuw vastgesteld op basis van die</a:t>
          </a:r>
          <a:r>
            <a:rPr lang="nl-NL" sz="1100" baseline="0">
              <a:solidFill>
                <a:schemeClr val="dk1"/>
              </a:solidFill>
              <a:effectLst/>
              <a:latin typeface="+mn-lt"/>
              <a:ea typeface="+mn-ea"/>
              <a:cs typeface="+mn-cs"/>
            </a:rPr>
            <a:t> 80%</a:t>
          </a:r>
          <a:r>
            <a:rPr lang="nl-NL"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Je gaat minder werken, dus maak</a:t>
          </a:r>
          <a:r>
            <a:rPr lang="nl-NL" sz="1100" baseline="0">
              <a:solidFill>
                <a:schemeClr val="dk1"/>
              </a:solidFill>
              <a:effectLst/>
              <a:latin typeface="+mn-lt"/>
              <a:ea typeface="+mn-ea"/>
              <a:cs typeface="+mn-cs"/>
            </a:rPr>
            <a:t> je ook </a:t>
          </a:r>
          <a:r>
            <a:rPr lang="nl-NL" sz="1100">
              <a:solidFill>
                <a:schemeClr val="dk1"/>
              </a:solidFill>
              <a:effectLst/>
              <a:latin typeface="+mn-lt"/>
              <a:ea typeface="+mn-ea"/>
              <a:cs typeface="+mn-cs"/>
            </a:rPr>
            <a:t>afspraken over vermindering van jouw takenpakket</a:t>
          </a:r>
          <a:r>
            <a:rPr lang="nl-NL" sz="1100" baseline="0">
              <a:solidFill>
                <a:schemeClr val="dk1"/>
              </a:solidFill>
              <a:effectLst/>
              <a:latin typeface="+mn-lt"/>
              <a:ea typeface="+mn-ea"/>
              <a:cs typeface="+mn-cs"/>
            </a:rPr>
            <a:t> en/of </a:t>
          </a:r>
          <a:r>
            <a:rPr lang="nl-NL" sz="1100">
              <a:solidFill>
                <a:schemeClr val="dk1"/>
              </a:solidFill>
              <a:effectLst/>
              <a:latin typeface="+mn-lt"/>
              <a:ea typeface="+mn-ea"/>
              <a:cs typeface="+mn-cs"/>
            </a:rPr>
            <a:t>werkzaamheden.</a:t>
          </a:r>
          <a:endParaRPr lang="nl-NL" sz="1100">
            <a:effectLst/>
          </a:endParaRPr>
        </a:p>
        <a:p>
          <a:endParaRPr lang="nl-NL" sz="1100">
            <a:solidFill>
              <a:schemeClr val="dk1"/>
            </a:solidFill>
            <a:effectLst/>
            <a:latin typeface="+mn-lt"/>
            <a:ea typeface="+mn-ea"/>
            <a:cs typeface="+mn-cs"/>
          </a:endParaRPr>
        </a:p>
        <a:p>
          <a:pPr marL="0" indent="0"/>
          <a:r>
            <a:rPr kumimoji="0" lang="nl-NL" sz="1400" b="0" i="0" u="none" strike="noStrike" kern="0" cap="none" spc="0" normalizeH="0" baseline="0" noProof="0">
              <a:ln>
                <a:noFill/>
              </a:ln>
              <a:solidFill>
                <a:srgbClr val="0080A3"/>
              </a:solidFill>
              <a:effectLst/>
              <a:uLnTx/>
              <a:uFillTx/>
              <a:latin typeface="+mn-lt"/>
              <a:ea typeface="+mn-ea"/>
              <a:cs typeface="+mn-cs"/>
            </a:rPr>
            <a:t>Samenhang met de LFB-regeling</a:t>
          </a:r>
          <a:endParaRPr kumimoji="0" lang="nl-NL" sz="1400" b="0" i="0" u="none" strike="noStrike" kern="0" cap="none" spc="0" normalizeH="0" baseline="0">
            <a:ln>
              <a:noFill/>
            </a:ln>
            <a:solidFill>
              <a:srgbClr val="0080A3"/>
            </a:solidFill>
            <a:effectLst/>
            <a:uLnTx/>
            <a:uFillTx/>
            <a:latin typeface="+mn-lt"/>
            <a:ea typeface="+mn-ea"/>
            <a:cs typeface="+mn-cs"/>
          </a:endParaRPr>
        </a:p>
        <a:p>
          <a:pPr fontAlgn="base"/>
          <a:r>
            <a:rPr lang="nl-NL" sz="1100">
              <a:solidFill>
                <a:schemeClr val="dk1"/>
              </a:solidFill>
              <a:effectLst/>
              <a:latin typeface="+mn-lt"/>
              <a:ea typeface="+mn-ea"/>
              <a:cs typeface="+mn-cs"/>
            </a:rPr>
            <a:t>Vanaf de startdatum</a:t>
          </a:r>
          <a:r>
            <a:rPr lang="nl-NL" sz="1100" baseline="0">
              <a:solidFill>
                <a:schemeClr val="dk1"/>
              </a:solidFill>
              <a:effectLst/>
              <a:latin typeface="+mn-lt"/>
              <a:ea typeface="+mn-ea"/>
              <a:cs typeface="+mn-cs"/>
            </a:rPr>
            <a:t> van </a:t>
          </a:r>
          <a:r>
            <a:rPr lang="nl-NL" sz="1100">
              <a:solidFill>
                <a:schemeClr val="dk1"/>
              </a:solidFill>
              <a:effectLst/>
              <a:latin typeface="+mn-lt"/>
              <a:ea typeface="+mn-ea"/>
              <a:cs typeface="+mn-cs"/>
            </a:rPr>
            <a:t>de deelname aan het Generatiepact bouw je geen </a:t>
          </a:r>
          <a:r>
            <a:rPr lang="nl-NL" sz="1100" baseline="0">
              <a:solidFill>
                <a:schemeClr val="dk1"/>
              </a:solidFill>
              <a:effectLst/>
              <a:latin typeface="+mn-lt"/>
              <a:ea typeface="+mn-ea"/>
              <a:cs typeface="+mn-cs"/>
            </a:rPr>
            <a:t>LFB-uren meer op</a:t>
          </a:r>
          <a:r>
            <a:rPr lang="nl-NL" sz="1100">
              <a:solidFill>
                <a:schemeClr val="dk1"/>
              </a:solidFill>
              <a:effectLst/>
              <a:latin typeface="+mn-lt"/>
              <a:ea typeface="+mn-ea"/>
              <a:cs typeface="+mn-cs"/>
            </a:rPr>
            <a:t>. Je kan je bestaande LFB-saldo inzetten</a:t>
          </a:r>
          <a:r>
            <a:rPr lang="nl-NL" sz="1100" baseline="0">
              <a:solidFill>
                <a:schemeClr val="dk1"/>
              </a:solidFill>
              <a:effectLst/>
              <a:latin typeface="+mn-lt"/>
              <a:ea typeface="+mn-ea"/>
              <a:cs typeface="+mn-cs"/>
            </a:rPr>
            <a:t> 1) </a:t>
          </a:r>
          <a:r>
            <a:rPr lang="nl-NL" sz="1100">
              <a:solidFill>
                <a:schemeClr val="dk1"/>
              </a:solidFill>
              <a:effectLst/>
              <a:latin typeface="+mn-lt"/>
              <a:ea typeface="+mn-ea"/>
              <a:cs typeface="+mn-cs"/>
            </a:rPr>
            <a:t>voorafgaand, 2) gedurende of 3) aansluitend aan deelname aan het </a:t>
          </a:r>
          <a:r>
            <a:rPr lang="nl-NL" sz="1100" i="0">
              <a:solidFill>
                <a:schemeClr val="dk1"/>
              </a:solidFill>
              <a:effectLst/>
              <a:latin typeface="+mn-lt"/>
              <a:ea typeface="+mn-ea"/>
              <a:cs typeface="+mn-cs"/>
            </a:rPr>
            <a:t>Generatiepact. In </a:t>
          </a:r>
          <a:r>
            <a:rPr lang="nl-NL" sz="1100">
              <a:solidFill>
                <a:schemeClr val="dk1"/>
              </a:solidFill>
              <a:effectLst/>
              <a:latin typeface="+mn-lt"/>
              <a:ea typeface="+mn-ea"/>
              <a:cs typeface="+mn-cs"/>
            </a:rPr>
            <a:t>de laatste twee</a:t>
          </a:r>
          <a:r>
            <a:rPr lang="nl-NL" sz="1100" baseline="0">
              <a:solidFill>
                <a:schemeClr val="dk1"/>
              </a:solidFill>
              <a:effectLst/>
              <a:latin typeface="+mn-lt"/>
              <a:ea typeface="+mn-ea"/>
              <a:cs typeface="+mn-cs"/>
            </a:rPr>
            <a:t> gevallen</a:t>
          </a:r>
          <a:r>
            <a:rPr lang="nl-NL" sz="1100">
              <a:solidFill>
                <a:schemeClr val="dk1"/>
              </a:solidFill>
              <a:effectLst/>
              <a:latin typeface="+mn-lt"/>
              <a:ea typeface="+mn-ea"/>
              <a:cs typeface="+mn-cs"/>
            </a:rPr>
            <a:t> wordt het restant aan LFB-uren dat is opgebouwd tot aan je deelname aan het generatiepact, met 20% verlaagd. </a:t>
          </a:r>
        </a:p>
        <a:p>
          <a:pPr fontAlgn="base"/>
          <a:r>
            <a:rPr lang="nl-NL" sz="1100">
              <a:solidFill>
                <a:schemeClr val="dk1"/>
              </a:solidFill>
              <a:effectLst/>
              <a:latin typeface="+mn-lt"/>
              <a:ea typeface="+mn-ea"/>
              <a:cs typeface="+mn-cs"/>
            </a:rPr>
            <a:t>Je spreekt met</a:t>
          </a:r>
          <a:r>
            <a:rPr lang="nl-NL" sz="1100" baseline="0">
              <a:solidFill>
                <a:schemeClr val="dk1"/>
              </a:solidFill>
              <a:effectLst/>
              <a:latin typeface="+mn-lt"/>
              <a:ea typeface="+mn-ea"/>
              <a:cs typeface="+mn-cs"/>
            </a:rPr>
            <a:t> jouw werkgever af </a:t>
          </a:r>
          <a:r>
            <a:rPr lang="nl-NL" sz="1100">
              <a:solidFill>
                <a:schemeClr val="dk1"/>
              </a:solidFill>
              <a:effectLst/>
              <a:latin typeface="+mn-lt"/>
              <a:ea typeface="+mn-ea"/>
              <a:cs typeface="+mn-cs"/>
            </a:rPr>
            <a:t>hoe je</a:t>
          </a:r>
          <a:r>
            <a:rPr lang="nl-NL" sz="1100" baseline="0">
              <a:solidFill>
                <a:schemeClr val="dk1"/>
              </a:solidFill>
              <a:effectLst/>
              <a:latin typeface="+mn-lt"/>
              <a:ea typeface="+mn-ea"/>
              <a:cs typeface="+mn-cs"/>
            </a:rPr>
            <a:t> je </a:t>
          </a:r>
          <a:r>
            <a:rPr lang="nl-NL" sz="1100">
              <a:solidFill>
                <a:schemeClr val="dk1"/>
              </a:solidFill>
              <a:effectLst/>
              <a:latin typeface="+mn-lt"/>
              <a:ea typeface="+mn-ea"/>
              <a:cs typeface="+mn-cs"/>
            </a:rPr>
            <a:t>LFB-uren gaat opnemen.</a:t>
          </a:r>
        </a:p>
        <a:p>
          <a:pPr eaLnBrk="1" fontAlgn="auto" latinLnBrk="0" hangingPunct="1"/>
          <a:endParaRPr kumimoji="0" lang="nl-NL" sz="1100" b="0" i="0" u="none" strike="noStrike" kern="0" cap="none" spc="0" normalizeH="0" baseline="0" noProof="0">
            <a:ln>
              <a:noFill/>
            </a:ln>
            <a:solidFill>
              <a:schemeClr val="accent5"/>
            </a:solidFill>
            <a:effectLst/>
            <a:uLnTx/>
            <a:uFillTx/>
            <a:latin typeface="+mn-lt"/>
            <a:ea typeface="+mn-ea"/>
            <a:cs typeface="+mn-cs"/>
          </a:endParaRPr>
        </a:p>
        <a:p>
          <a:pPr marL="0" indent="0" eaLnBrk="1" fontAlgn="auto" latinLnBrk="0" hangingPunct="1"/>
          <a:r>
            <a:rPr kumimoji="0" lang="nl-NL" sz="1400" b="0" i="0" u="none" strike="noStrike" kern="0" cap="none" spc="0" normalizeH="0" baseline="0" noProof="0">
              <a:ln>
                <a:noFill/>
              </a:ln>
              <a:solidFill>
                <a:srgbClr val="0080A3"/>
              </a:solidFill>
              <a:effectLst/>
              <a:uLnTx/>
              <a:uFillTx/>
              <a:latin typeface="+mn-lt"/>
              <a:ea typeface="+mn-ea"/>
              <a:cs typeface="+mn-cs"/>
            </a:rPr>
            <a:t>Salaris en Pensioenopbouw</a:t>
          </a:r>
          <a:endParaRPr kumimoji="0" lang="nl-NL" sz="1400" b="0" i="0" u="none" strike="noStrike" kern="0" cap="none" spc="0" normalizeH="0" baseline="0">
            <a:ln>
              <a:noFill/>
            </a:ln>
            <a:solidFill>
              <a:srgbClr val="0080A3"/>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i="0">
              <a:solidFill>
                <a:schemeClr val="dk1"/>
              </a:solidFill>
              <a:effectLst/>
              <a:latin typeface="+mn-lt"/>
              <a:ea typeface="+mn-ea"/>
              <a:cs typeface="+mn-cs"/>
            </a:rPr>
            <a:t>Jouw salaris wordt aangevuld tot 90% van het salaris direct voorafgaand aan deelname. Voor wat betreft je pensioen</a:t>
          </a:r>
          <a:r>
            <a:rPr lang="nl-NL" sz="1100" i="0" baseline="0">
              <a:solidFill>
                <a:schemeClr val="dk1"/>
              </a:solidFill>
              <a:effectLst/>
              <a:latin typeface="+mn-lt"/>
              <a:ea typeface="+mn-ea"/>
              <a:cs typeface="+mn-cs"/>
            </a:rPr>
            <a:t> kan je kiezen voor opbouwen op basis van het oude salarisniveau of opbouwen op basis van je nieuwe salarisniveau. </a:t>
          </a:r>
          <a:r>
            <a:rPr lang="nl-NL" sz="1100" b="0" i="0">
              <a:solidFill>
                <a:schemeClr val="dk1"/>
              </a:solidFill>
              <a:effectLst/>
              <a:latin typeface="+mn-lt"/>
              <a:ea typeface="+mn-ea"/>
              <a:cs typeface="+mn-cs"/>
            </a:rPr>
            <a:t>De pensioenpremieverdeling tussen jou en je werkgever blijft ongewijzigd (ieder betaalt de helft). </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chemeClr val="dk1"/>
              </a:solidFill>
              <a:effectLst/>
              <a:latin typeface="+mn-lt"/>
              <a:ea typeface="+mn-ea"/>
              <a:cs typeface="+mn-cs"/>
            </a:rPr>
            <a:t>Werk je minder dan 30 uur per week,</a:t>
          </a:r>
          <a:r>
            <a:rPr lang="nl-NL" sz="1100" b="0" i="0" baseline="0">
              <a:solidFill>
                <a:schemeClr val="dk1"/>
              </a:solidFill>
              <a:effectLst/>
              <a:latin typeface="+mn-lt"/>
              <a:ea typeface="+mn-ea"/>
              <a:cs typeface="+mn-cs"/>
            </a:rPr>
            <a:t> dan kan je je arbeidsduur met maximaal 6 uur terugbrengen tot 24 uur</a:t>
          </a:r>
          <a:r>
            <a:rPr lang="nl-NL" sz="1100" b="0" i="0" baseline="0">
              <a:solidFill>
                <a:sysClr val="windowText" lastClr="000000"/>
              </a:solidFill>
              <a:effectLst/>
              <a:latin typeface="+mn-lt"/>
              <a:ea typeface="+mn-ea"/>
              <a:cs typeface="+mn-cs"/>
            </a:rPr>
            <a:t>; de genoemde percentages van 80% en 90% worden dan anders.</a:t>
          </a:r>
        </a:p>
        <a:p>
          <a:pPr eaLnBrk="1" fontAlgn="auto" latinLnBrk="0" hangingPunct="1"/>
          <a:endParaRPr lang="nl-NL" sz="1100" b="0" i="1">
            <a:solidFill>
              <a:schemeClr val="dk1"/>
            </a:solidFill>
            <a:effectLst/>
            <a:latin typeface="+mn-lt"/>
            <a:ea typeface="+mn-ea"/>
            <a:cs typeface="+mn-cs"/>
          </a:endParaRPr>
        </a:p>
        <a:p>
          <a:pPr marL="0" indent="0" eaLnBrk="1" fontAlgn="auto" latinLnBrk="0" hangingPunct="1"/>
          <a:r>
            <a:rPr kumimoji="0" lang="nl-NL" sz="1400" b="0" i="0" u="none" strike="noStrike" kern="0" cap="none" spc="0" normalizeH="0" baseline="0" noProof="0">
              <a:ln>
                <a:noFill/>
              </a:ln>
              <a:solidFill>
                <a:srgbClr val="0080A3"/>
              </a:solidFill>
              <a:effectLst/>
              <a:uLnTx/>
              <a:uFillTx/>
              <a:latin typeface="+mn-lt"/>
              <a:ea typeface="+mn-ea"/>
              <a:cs typeface="+mn-cs"/>
            </a:rPr>
            <a:t>Voorwaarden voor deelname aan het Generatiepact</a:t>
          </a:r>
          <a:endParaRPr kumimoji="0" lang="nl-NL" sz="1400" b="0" i="0" u="none" strike="noStrike" kern="0" cap="none" spc="0" normalizeH="0" baseline="0">
            <a:ln>
              <a:noFill/>
            </a:ln>
            <a:solidFill>
              <a:srgbClr val="0080A3"/>
            </a:solidFill>
            <a:effectLst/>
            <a:uLnTx/>
            <a:uFillTx/>
            <a:latin typeface="+mn-lt"/>
            <a:ea typeface="+mn-ea"/>
            <a:cs typeface="+mn-cs"/>
          </a:endParaRPr>
        </a:p>
        <a:p>
          <a:r>
            <a:rPr lang="nl-NL" sz="1100">
              <a:solidFill>
                <a:schemeClr val="dk1"/>
              </a:solidFill>
              <a:effectLst/>
              <a:latin typeface="+mn-lt"/>
              <a:ea typeface="+mn-ea"/>
              <a:cs typeface="+mn-cs"/>
            </a:rPr>
            <a:t>1. Je start met deelname maximaal</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vier jaar voor </a:t>
          </a:r>
          <a:r>
            <a:rPr lang="nl-NL" sz="1100" baseline="0">
              <a:solidFill>
                <a:schemeClr val="dk1"/>
              </a:solidFill>
              <a:effectLst/>
              <a:latin typeface="+mn-lt"/>
              <a:ea typeface="+mn-ea"/>
              <a:cs typeface="+mn-cs"/>
            </a:rPr>
            <a:t>jouw AOW-datum. </a:t>
          </a:r>
          <a:r>
            <a:rPr lang="nl-NL" sz="1100" b="0" i="0">
              <a:solidFill>
                <a:srgbClr val="000000"/>
              </a:solidFill>
              <a:effectLst/>
              <a:latin typeface="Calibri" panose="020F0502020204030204" pitchFamily="34" charset="0"/>
            </a:rPr>
            <a:t>Wat je AOW-datum is, kan je o.a. vinden in</a:t>
          </a:r>
          <a:r>
            <a:rPr lang="nl-NL" sz="1100" b="0" i="0" baseline="0">
              <a:solidFill>
                <a:srgbClr val="000000"/>
              </a:solidFill>
              <a:effectLst/>
              <a:latin typeface="Calibri" panose="020F0502020204030204" pitchFamily="34" charset="0"/>
            </a:rPr>
            <a:t> de cao-app GGZ </a:t>
          </a:r>
          <a:r>
            <a:rPr lang="nl-NL" sz="1100" b="0" i="0">
              <a:solidFill>
                <a:srgbClr val="000000"/>
              </a:solidFill>
              <a:effectLst/>
              <a:latin typeface="Calibri" panose="020F0502020204030204" pitchFamily="34" charset="0"/>
            </a:rPr>
            <a:t>(zie tabblad 'Nuttige links').</a:t>
          </a:r>
          <a:endParaRPr lang="nl-NL" sz="1100" baseline="0">
            <a:solidFill>
              <a:schemeClr val="dk1"/>
            </a:solidFill>
            <a:effectLst/>
            <a:latin typeface="+mn-lt"/>
            <a:ea typeface="+mn-ea"/>
            <a:cs typeface="+mn-cs"/>
          </a:endParaRPr>
        </a:p>
        <a:p>
          <a:r>
            <a:rPr lang="nl-NL" sz="1100" baseline="0">
              <a:solidFill>
                <a:schemeClr val="dk1"/>
              </a:solidFill>
              <a:effectLst/>
              <a:latin typeface="+mn-lt"/>
              <a:ea typeface="+mn-ea"/>
              <a:cs typeface="+mn-cs"/>
            </a:rPr>
            <a:t>2. </a:t>
          </a:r>
          <a:r>
            <a:rPr lang="nl-NL" sz="1100">
              <a:solidFill>
                <a:schemeClr val="dk1"/>
              </a:solidFill>
              <a:effectLst/>
              <a:latin typeface="+mn-lt"/>
              <a:ea typeface="+mn-ea"/>
              <a:cs typeface="+mn-cs"/>
            </a:rPr>
            <a:t>Jij</a:t>
          </a:r>
          <a:r>
            <a:rPr lang="nl-NL" sz="1100" baseline="0">
              <a:solidFill>
                <a:schemeClr val="dk1"/>
              </a:solidFill>
              <a:effectLst/>
              <a:latin typeface="+mn-lt"/>
              <a:ea typeface="+mn-ea"/>
              <a:cs typeface="+mn-cs"/>
            </a:rPr>
            <a:t> hebt een arbeidsovereenkomst van meer dan 24 uur per week. Bij gebruik van het Generatiepact blijf je tenminste 24 uur gemiddeld per week werken.</a:t>
          </a:r>
          <a:endParaRPr lang="nl-NL" sz="1100">
            <a:effectLst/>
          </a:endParaRPr>
        </a:p>
        <a:p>
          <a:r>
            <a:rPr lang="nl-NL" sz="1100">
              <a:solidFill>
                <a:schemeClr val="dk1"/>
              </a:solidFill>
              <a:effectLst/>
              <a:latin typeface="+mn-lt"/>
              <a:ea typeface="+mn-ea"/>
              <a:cs typeface="+mn-cs"/>
            </a:rPr>
            <a:t>3. Je bent op het moment</a:t>
          </a:r>
          <a:r>
            <a:rPr lang="nl-NL" sz="1100" baseline="0">
              <a:solidFill>
                <a:schemeClr val="dk1"/>
              </a:solidFill>
              <a:effectLst/>
              <a:latin typeface="+mn-lt"/>
              <a:ea typeface="+mn-ea"/>
              <a:cs typeface="+mn-cs"/>
            </a:rPr>
            <a:t> van de beoogde startdatum tenminste vijf jaar onafgebroken in een belastende functie in dienst geweest bij jouw</a:t>
          </a:r>
          <a:r>
            <a:rPr lang="nl-NL" sz="1100" baseline="0">
              <a:solidFill>
                <a:sysClr val="windowText" lastClr="000000"/>
              </a:solidFill>
              <a:effectLst/>
              <a:latin typeface="+mn-lt"/>
              <a:ea typeface="+mn-ea"/>
              <a:cs typeface="+mn-cs"/>
            </a:rPr>
            <a:t> werkgever</a:t>
          </a:r>
          <a:r>
            <a:rPr lang="nl-NL" sz="1100" baseline="0">
              <a:solidFill>
                <a:srgbClr val="C00000"/>
              </a:solidFill>
              <a:effectLst/>
              <a:latin typeface="+mn-lt"/>
              <a:ea typeface="+mn-ea"/>
              <a:cs typeface="+mn-cs"/>
            </a:rPr>
            <a:t>.</a:t>
          </a:r>
          <a:endParaRPr lang="nl-NL" sz="1100">
            <a:effectLst/>
          </a:endParaRPr>
        </a:p>
        <a:p>
          <a:r>
            <a:rPr lang="nl-NL" sz="1100">
              <a:solidFill>
                <a:schemeClr val="dk1"/>
              </a:solidFill>
              <a:effectLst/>
              <a:latin typeface="+mn-lt"/>
              <a:ea typeface="+mn-ea"/>
              <a:cs typeface="+mn-cs"/>
            </a:rPr>
            <a:t>4. Je neemt tenminste voor een periode van </a:t>
          </a:r>
          <a:r>
            <a:rPr lang="nl-NL" sz="1100" baseline="0">
              <a:solidFill>
                <a:schemeClr val="dk1"/>
              </a:solidFill>
              <a:effectLst/>
              <a:latin typeface="+mn-lt"/>
              <a:ea typeface="+mn-ea"/>
              <a:cs typeface="+mn-cs"/>
            </a:rPr>
            <a:t>drie maanden deel aan het Generatiepact.</a:t>
          </a:r>
        </a:p>
        <a:p>
          <a:r>
            <a:rPr lang="nl-NL" sz="1100" baseline="0">
              <a:solidFill>
                <a:schemeClr val="dk1"/>
              </a:solidFill>
              <a:effectLst/>
              <a:latin typeface="+mn-lt"/>
              <a:ea typeface="+mn-ea"/>
              <a:cs typeface="+mn-cs"/>
            </a:rPr>
            <a:t>5. Jij hebt geen urenuitbreiding gekregen in de 12 maanden voorafgaand aan de beoogde startdatum van de deelname.</a:t>
          </a:r>
          <a:endParaRPr lang="nl-NL" sz="1100" baseline="0">
            <a:solidFill>
              <a:srgbClr val="FF0000"/>
            </a:solidFill>
            <a:effectLst/>
            <a:latin typeface="+mn-lt"/>
            <a:ea typeface="+mn-ea"/>
            <a:cs typeface="+mn-cs"/>
          </a:endParaRPr>
        </a:p>
        <a:p>
          <a:r>
            <a:rPr lang="nl-NL" sz="1100" baseline="0">
              <a:solidFill>
                <a:schemeClr val="dk1"/>
              </a:solidFill>
              <a:effectLst/>
              <a:latin typeface="+mn-lt"/>
              <a:ea typeface="+mn-ea"/>
              <a:cs typeface="+mn-cs"/>
            </a:rPr>
            <a:t>6. De deelname zelf begint op de eerste kalenderdag van de maand.</a:t>
          </a:r>
        </a:p>
        <a:p>
          <a:r>
            <a:rPr lang="nl-NL" sz="1100" baseline="0">
              <a:solidFill>
                <a:schemeClr val="dk1"/>
              </a:solidFill>
              <a:effectLst/>
              <a:latin typeface="+mn-lt"/>
              <a:ea typeface="+mn-ea"/>
              <a:cs typeface="+mn-cs"/>
            </a:rPr>
            <a:t>7. Je doet je verzoek tot deelname tenminste </a:t>
          </a:r>
          <a:r>
            <a:rPr lang="nl-NL" sz="1100" baseline="0">
              <a:solidFill>
                <a:sysClr val="windowText" lastClr="000000"/>
              </a:solidFill>
              <a:effectLst/>
              <a:latin typeface="+mn-lt"/>
              <a:ea typeface="+mn-ea"/>
              <a:cs typeface="+mn-cs"/>
            </a:rPr>
            <a:t>drie</a:t>
          </a:r>
          <a:r>
            <a:rPr lang="nl-NL" sz="1100" baseline="0">
              <a:solidFill>
                <a:schemeClr val="dk1"/>
              </a:solidFill>
              <a:effectLst/>
              <a:latin typeface="+mn-lt"/>
              <a:ea typeface="+mn-ea"/>
              <a:cs typeface="+mn-cs"/>
            </a:rPr>
            <a:t> maanden voorafgaand aan de gewenste ingangsdatum. Dit doe je schriftelijk bij jouw werkgever.</a:t>
          </a:r>
          <a:endParaRPr lang="nl-NL" sz="1100"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aseline="0">
              <a:solidFill>
                <a:schemeClr val="dk1"/>
              </a:solidFill>
              <a:effectLst/>
              <a:latin typeface="+mn-lt"/>
              <a:ea typeface="+mn-ea"/>
              <a:cs typeface="+mn-cs"/>
            </a:rPr>
            <a:t>8. </a:t>
          </a:r>
          <a:r>
            <a:rPr lang="nl-NL" sz="1100" b="0" i="0" baseline="0">
              <a:solidFill>
                <a:schemeClr val="dk1"/>
              </a:solidFill>
              <a:effectLst/>
              <a:latin typeface="+mn-lt"/>
              <a:ea typeface="+mn-ea"/>
              <a:cs typeface="+mn-cs"/>
            </a:rPr>
            <a:t>Als je deelneemt aan het Generatiepact kun je in datzelfde kalenderjaar geen gebruik maken van het balansbudget.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9. </a:t>
          </a:r>
          <a:r>
            <a:rPr kumimoji="0" lang="nl-NL" sz="1100" b="0" i="0" u="none" strike="noStrike" kern="0" cap="none" spc="0" normalizeH="0" baseline="0">
              <a:ln>
                <a:noFill/>
              </a:ln>
              <a:solidFill>
                <a:prstClr val="black"/>
              </a:solidFill>
              <a:effectLst/>
              <a:uLnTx/>
              <a:uFillTx/>
              <a:latin typeface="+mn-lt"/>
              <a:ea typeface="+mn-ea"/>
              <a:cs typeface="+mn-cs"/>
            </a:rPr>
            <a:t>Je maakt een </a:t>
          </a:r>
          <a:r>
            <a:rPr kumimoji="0" lang="nl-NL" sz="1100" b="0" i="0" u="none" strike="noStrike" kern="0" cap="none" spc="0" normalizeH="0" baseline="0" noProof="0">
              <a:ln>
                <a:noFill/>
              </a:ln>
              <a:solidFill>
                <a:prstClr val="black"/>
              </a:solidFill>
              <a:effectLst/>
              <a:uLnTx/>
              <a:uFillTx/>
              <a:latin typeface="+mn-lt"/>
              <a:ea typeface="+mn-ea"/>
              <a:cs typeface="+mn-cs"/>
            </a:rPr>
            <a:t>éénmalige en in principe onomkeerbare keuze, die doorwerkt tot aan het bereiken van jouw AOW-gerechtigde leeftijd of tot eerdere beëindiging van je dienstverband.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prstClr val="black"/>
              </a:solidFill>
              <a:effectLst/>
              <a:uLnTx/>
              <a:uFillTx/>
              <a:latin typeface="+mn-lt"/>
              <a:ea typeface="+mn-ea"/>
              <a:cs typeface="+mn-cs"/>
            </a:rPr>
            <a:t>10. De start van jouw deelname ligt uiterlijk op 31 december 2025. Of deelname na dat tijdstip nog mogelijk is, wordt in 2024 door cao-partijen bekendgemaakt.</a:t>
          </a:r>
        </a:p>
        <a:p>
          <a:endParaRPr lang="nl-NL"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latin typeface="+mn-lt"/>
              <a:ea typeface="+mn-ea"/>
              <a:cs typeface="+mn-cs"/>
            </a:rPr>
            <a:t>Als</a:t>
          </a:r>
          <a:r>
            <a:rPr lang="nl-NL" sz="1100" baseline="0">
              <a:solidFill>
                <a:sysClr val="windowText" lastClr="000000"/>
              </a:solidFill>
              <a:effectLst/>
              <a:latin typeface="+mn-lt"/>
              <a:ea typeface="+mn-ea"/>
              <a:cs typeface="+mn-cs"/>
            </a:rPr>
            <a:t> er zich </a:t>
          </a:r>
          <a:r>
            <a:rPr lang="nl-NL" sz="1100">
              <a:solidFill>
                <a:sysClr val="windowText" lastClr="000000"/>
              </a:solidFill>
              <a:effectLst/>
              <a:latin typeface="+mn-lt"/>
              <a:ea typeface="+mn-ea"/>
              <a:cs typeface="+mn-cs"/>
            </a:rPr>
            <a:t>gedurende de deelname aan het Generatiepact</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op jouw initiatief een wijziging in jouw arbeidsovereenkomst voordoet waardoor je niet meer aan de voorwaarden voldoet, dan zullen de deelname en de 10% salarisaanvulling</a:t>
          </a:r>
          <a:r>
            <a:rPr lang="nl-NL" sz="1100" baseline="0">
              <a:solidFill>
                <a:sysClr val="windowText" lastClr="000000"/>
              </a:solidFill>
              <a:effectLst/>
              <a:latin typeface="+mn-lt"/>
              <a:ea typeface="+mn-ea"/>
              <a:cs typeface="+mn-cs"/>
            </a:rPr>
            <a:t> worden gestopt zonder dat de in verband met deelname vervallen verminderde aanspraken zullen worden teruggedraaid. De LFB-uren die zijn vervallen of verminderd komen dus niet terug zoals je ze had voor de start van het Generatiepact.</a:t>
          </a:r>
          <a:endParaRPr lang="nl-NL" sz="1100" i="1"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ysClr val="windowText" lastClr="000000"/>
              </a:solidFill>
              <a:effectLst/>
              <a:latin typeface="+mn-lt"/>
              <a:ea typeface="+mn-ea"/>
              <a:cs typeface="+mn-cs"/>
            </a:rPr>
            <a:t>Dit is overigens allemaal niet aan de orde</a:t>
          </a:r>
          <a:r>
            <a:rPr lang="nl-NL" sz="1100" baseline="0">
              <a:solidFill>
                <a:sysClr val="windowText" lastClr="000000"/>
              </a:solidFill>
              <a:effectLst/>
              <a:latin typeface="+mn-lt"/>
              <a:ea typeface="+mn-ea"/>
              <a:cs typeface="+mn-cs"/>
            </a:rPr>
            <a:t> als de </a:t>
          </a:r>
          <a:r>
            <a:rPr lang="nl-NL" sz="1100">
              <a:solidFill>
                <a:sysClr val="windowText" lastClr="000000"/>
              </a:solidFill>
              <a:effectLst/>
              <a:latin typeface="+mn-lt"/>
              <a:ea typeface="+mn-ea"/>
              <a:cs typeface="+mn-cs"/>
            </a:rPr>
            <a:t>oorzaak van het niet meer voldoen aan de voorwaarden buiten</a:t>
          </a:r>
          <a:r>
            <a:rPr lang="nl-NL" sz="1100" baseline="0">
              <a:solidFill>
                <a:sysClr val="windowText" lastClr="000000"/>
              </a:solidFill>
              <a:effectLst/>
              <a:latin typeface="+mn-lt"/>
              <a:ea typeface="+mn-ea"/>
              <a:cs typeface="+mn-cs"/>
            </a:rPr>
            <a:t> jouw</a:t>
          </a:r>
          <a:r>
            <a:rPr lang="nl-NL" sz="1100">
              <a:solidFill>
                <a:sysClr val="windowText" lastClr="000000"/>
              </a:solidFill>
              <a:effectLst/>
              <a:latin typeface="+mn-lt"/>
              <a:ea typeface="+mn-ea"/>
              <a:cs typeface="+mn-cs"/>
            </a:rPr>
            <a:t> invloedssfeer ligt.</a:t>
          </a:r>
          <a:endParaRPr lang="nl-NL" sz="1100" i="1">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rgbClr val="C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In de CAO GGZ vind je </a:t>
          </a:r>
          <a:r>
            <a:rPr lang="nl-NL" sz="1100" baseline="0">
              <a:solidFill>
                <a:schemeClr val="dk1"/>
              </a:solidFill>
              <a:effectLst/>
              <a:latin typeface="+mn-lt"/>
              <a:ea typeface="+mn-ea"/>
              <a:cs typeface="+mn-cs"/>
            </a:rPr>
            <a:t>informatie en bepalingen over het Generatiepact, maar ook andere bepalingen die verband houden met deze regeling. </a:t>
          </a:r>
        </a:p>
        <a:p>
          <a:pPr marL="0" marR="0" lvl="0" indent="0" defTabSz="914400" eaLnBrk="1" fontAlgn="auto" latinLnBrk="0" hangingPunct="1">
            <a:lnSpc>
              <a:spcPct val="100000"/>
            </a:lnSpc>
            <a:spcBef>
              <a:spcPts val="0"/>
            </a:spcBef>
            <a:spcAft>
              <a:spcPts val="0"/>
            </a:spcAft>
            <a:buClrTx/>
            <a:buSzTx/>
            <a:buFontTx/>
            <a:buNone/>
            <a:tabLst/>
            <a:defRPr/>
          </a:pPr>
          <a:r>
            <a:rPr lang="nl-NL" sz="1100" baseline="0">
              <a:solidFill>
                <a:schemeClr val="dk1"/>
              </a:solidFill>
              <a:effectLst/>
              <a:latin typeface="+mn-lt"/>
              <a:ea typeface="+mn-ea"/>
              <a:cs typeface="+mn-cs"/>
            </a:rPr>
            <a:t>Zie onder tabblad 'Nuttige links' waar je die kunt vinden.</a:t>
          </a:r>
        </a:p>
        <a:p>
          <a:endParaRPr lang="nl-NL" sz="1200" b="1">
            <a:solidFill>
              <a:schemeClr val="dk1"/>
            </a:solidFill>
            <a:effectLst/>
            <a:latin typeface="+mn-lt"/>
            <a:ea typeface="+mn-ea"/>
            <a:cs typeface="+mn-cs"/>
          </a:endParaRPr>
        </a:p>
      </xdr:txBody>
    </xdr:sp>
    <xdr:clientData/>
  </xdr:twoCellAnchor>
  <xdr:twoCellAnchor>
    <xdr:from>
      <xdr:col>7</xdr:col>
      <xdr:colOff>533400</xdr:colOff>
      <xdr:row>143</xdr:row>
      <xdr:rowOff>0</xdr:rowOff>
    </xdr:from>
    <xdr:to>
      <xdr:col>9</xdr:col>
      <xdr:colOff>304800</xdr:colOff>
      <xdr:row>145</xdr:row>
      <xdr:rowOff>47625</xdr:rowOff>
    </xdr:to>
    <xdr:sp macro="" textlink="">
      <xdr:nvSpPr>
        <xdr:cNvPr id="2" name="Rechthoek: afgeronde hoeken 1">
          <a:hlinkClick xmlns:r="http://schemas.openxmlformats.org/officeDocument/2006/relationships" r:id="rId1" tooltip="Verder"/>
          <a:extLst>
            <a:ext uri="{FF2B5EF4-FFF2-40B4-BE49-F238E27FC236}">
              <a16:creationId xmlns:a16="http://schemas.microsoft.com/office/drawing/2014/main" id="{7CEE5BC9-7A35-48EC-AFEB-22E204FB6BD2}"/>
            </a:ext>
          </a:extLst>
        </xdr:cNvPr>
        <xdr:cNvSpPr/>
      </xdr:nvSpPr>
      <xdr:spPr>
        <a:xfrm>
          <a:off x="5191125" y="25879425"/>
          <a:ext cx="106680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6</xdr:col>
      <xdr:colOff>0</xdr:colOff>
      <xdr:row>143</xdr:row>
      <xdr:rowOff>0</xdr:rowOff>
    </xdr:from>
    <xdr:to>
      <xdr:col>7</xdr:col>
      <xdr:colOff>419100</xdr:colOff>
      <xdr:row>145</xdr:row>
      <xdr:rowOff>47625</xdr:rowOff>
    </xdr:to>
    <xdr:sp macro="" textlink="">
      <xdr:nvSpPr>
        <xdr:cNvPr id="5" name="Rechthoek: afgeronde hoeken 4">
          <a:hlinkClick xmlns:r="http://schemas.openxmlformats.org/officeDocument/2006/relationships" r:id="rId2" tooltip="Terug"/>
          <a:extLst>
            <a:ext uri="{FF2B5EF4-FFF2-40B4-BE49-F238E27FC236}">
              <a16:creationId xmlns:a16="http://schemas.microsoft.com/office/drawing/2014/main" id="{376FA15A-5BD1-48E4-9218-CEA76ABB44EF}"/>
            </a:ext>
          </a:extLst>
        </xdr:cNvPr>
        <xdr:cNvSpPr/>
      </xdr:nvSpPr>
      <xdr:spPr>
        <a:xfrm>
          <a:off x="4010025" y="25879425"/>
          <a:ext cx="106680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twoCellAnchor editAs="oneCell">
    <xdr:from>
      <xdr:col>2</xdr:col>
      <xdr:colOff>55880</xdr:colOff>
      <xdr:row>2</xdr:row>
      <xdr:rowOff>40004</xdr:rowOff>
    </xdr:from>
    <xdr:to>
      <xdr:col>10</xdr:col>
      <xdr:colOff>18415</xdr:colOff>
      <xdr:row>13</xdr:row>
      <xdr:rowOff>154940</xdr:rowOff>
    </xdr:to>
    <xdr:pic>
      <xdr:nvPicPr>
        <xdr:cNvPr id="4" name="Picture 5968">
          <a:extLst>
            <a:ext uri="{FF2B5EF4-FFF2-40B4-BE49-F238E27FC236}">
              <a16:creationId xmlns:a16="http://schemas.microsoft.com/office/drawing/2014/main" id="{E59541F9-F25E-8424-0BDF-A06502BBA249}"/>
            </a:ext>
          </a:extLst>
        </xdr:cNvPr>
        <xdr:cNvPicPr/>
      </xdr:nvPicPr>
      <xdr:blipFill>
        <a:blip xmlns:r="http://schemas.openxmlformats.org/officeDocument/2006/relationships" r:embed="rId3"/>
        <a:stretch>
          <a:fillRect/>
        </a:stretch>
      </xdr:blipFill>
      <xdr:spPr>
        <a:xfrm>
          <a:off x="1413193" y="405129"/>
          <a:ext cx="4863465" cy="2123124"/>
        </a:xfrm>
        <a:prstGeom prst="rect">
          <a:avLst/>
        </a:prstGeom>
      </xdr:spPr>
    </xdr:pic>
    <xdr:clientData/>
  </xdr:twoCellAnchor>
  <xdr:twoCellAnchor>
    <xdr:from>
      <xdr:col>8</xdr:col>
      <xdr:colOff>592422</xdr:colOff>
      <xdr:row>3</xdr:row>
      <xdr:rowOff>4703</xdr:rowOff>
    </xdr:from>
    <xdr:to>
      <xdr:col>11</xdr:col>
      <xdr:colOff>557230</xdr:colOff>
      <xdr:row>14</xdr:row>
      <xdr:rowOff>49421</xdr:rowOff>
    </xdr:to>
    <xdr:sp macro="" textlink="">
      <xdr:nvSpPr>
        <xdr:cNvPr id="6" name="Shape 63">
          <a:extLst>
            <a:ext uri="{FF2B5EF4-FFF2-40B4-BE49-F238E27FC236}">
              <a16:creationId xmlns:a16="http://schemas.microsoft.com/office/drawing/2014/main" id="{B4E0149E-BEE5-4B54-9E8A-0592B728C92D}"/>
            </a:ext>
          </a:extLst>
        </xdr:cNvPr>
        <xdr:cNvSpPr/>
      </xdr:nvSpPr>
      <xdr:spPr>
        <a:xfrm rot="19054350">
          <a:off x="5616860" y="552391"/>
          <a:ext cx="1798370" cy="2052905"/>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6BBFA3"/>
        </a:solidFill>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clientData/>
  </xdr:twoCellAnchor>
  <xdr:twoCellAnchor editAs="oneCell">
    <xdr:from>
      <xdr:col>10</xdr:col>
      <xdr:colOff>323313</xdr:colOff>
      <xdr:row>6</xdr:row>
      <xdr:rowOff>150807</xdr:rowOff>
    </xdr:from>
    <xdr:to>
      <xdr:col>11</xdr:col>
      <xdr:colOff>146149</xdr:colOff>
      <xdr:row>9</xdr:row>
      <xdr:rowOff>17457</xdr:rowOff>
    </xdr:to>
    <xdr:pic>
      <xdr:nvPicPr>
        <xdr:cNvPr id="12" name="Graphic 11" descr="Pictogram hamburgermenu met effen opvulling">
          <a:hlinkClick xmlns:r="http://schemas.openxmlformats.org/officeDocument/2006/relationships" r:id="rId4" tooltip="Menu"/>
          <a:extLst>
            <a:ext uri="{FF2B5EF4-FFF2-40B4-BE49-F238E27FC236}">
              <a16:creationId xmlns:a16="http://schemas.microsoft.com/office/drawing/2014/main" id="{119B1CA1-5AB1-4090-8A4C-A9DC4806C6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70126" y="1246182"/>
          <a:ext cx="434023" cy="414338"/>
        </a:xfrm>
        <a:prstGeom prst="rect">
          <a:avLst/>
        </a:prstGeom>
      </xdr:spPr>
    </xdr:pic>
    <xdr:clientData/>
  </xdr:twoCellAnchor>
  <xdr:twoCellAnchor editAs="absolute">
    <xdr:from>
      <xdr:col>9</xdr:col>
      <xdr:colOff>344882</xdr:colOff>
      <xdr:row>6</xdr:row>
      <xdr:rowOff>98103</xdr:rowOff>
    </xdr:from>
    <xdr:to>
      <xdr:col>10</xdr:col>
      <xdr:colOff>117634</xdr:colOff>
      <xdr:row>8</xdr:row>
      <xdr:rowOff>170483</xdr:rowOff>
    </xdr:to>
    <xdr:pic>
      <xdr:nvPicPr>
        <xdr:cNvPr id="16" name="Graphic 10" descr="Introductiepagina met effen opvulling">
          <a:hlinkClick xmlns:r="http://schemas.openxmlformats.org/officeDocument/2006/relationships" r:id="rId7" tooltip="Home"/>
          <a:extLst>
            <a:ext uri="{FF2B5EF4-FFF2-40B4-BE49-F238E27FC236}">
              <a16:creationId xmlns:a16="http://schemas.microsoft.com/office/drawing/2014/main" id="{0253FDC2-A00D-403E-A28F-C4884F667316}"/>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980507" y="1193478"/>
          <a:ext cx="383940" cy="437505"/>
        </a:xfrm>
        <a:prstGeom prst="rect">
          <a:avLst/>
        </a:prstGeom>
      </xdr:spPr>
    </xdr:pic>
    <xdr:clientData/>
  </xdr:twoCellAnchor>
  <xdr:twoCellAnchor>
    <xdr:from>
      <xdr:col>0</xdr:col>
      <xdr:colOff>1</xdr:colOff>
      <xdr:row>68</xdr:row>
      <xdr:rowOff>100440</xdr:rowOff>
    </xdr:from>
    <xdr:to>
      <xdr:col>1</xdr:col>
      <xdr:colOff>57151</xdr:colOff>
      <xdr:row>78</xdr:row>
      <xdr:rowOff>135479</xdr:rowOff>
    </xdr:to>
    <xdr:sp macro="" textlink="">
      <xdr:nvSpPr>
        <xdr:cNvPr id="10" name="Gelijkbenige driehoek 9">
          <a:extLst>
            <a:ext uri="{FF2B5EF4-FFF2-40B4-BE49-F238E27FC236}">
              <a16:creationId xmlns:a16="http://schemas.microsoft.com/office/drawing/2014/main" id="{EE8C3C9F-447C-BED5-3EAE-BCB71A14F160}"/>
            </a:ext>
          </a:extLst>
        </xdr:cNvPr>
        <xdr:cNvSpPr/>
      </xdr:nvSpPr>
      <xdr:spPr>
        <a:xfrm rot="5400000">
          <a:off x="-496253" y="12565064"/>
          <a:ext cx="1795093" cy="802585"/>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17</xdr:col>
      <xdr:colOff>105274</xdr:colOff>
      <xdr:row>69</xdr:row>
      <xdr:rowOff>59483</xdr:rowOff>
    </xdr:from>
    <xdr:ext cx="1068717" cy="1285513"/>
    <xdr:pic>
      <xdr:nvPicPr>
        <xdr:cNvPr id="13" name="Afbeelding 12">
          <a:hlinkClick xmlns:r="http://schemas.openxmlformats.org/officeDocument/2006/relationships" r:id="rId10" tooltip="https://www.oofggz.nl/goedwerkenindeggz/"/>
          <a:extLst>
            <a:ext uri="{FF2B5EF4-FFF2-40B4-BE49-F238E27FC236}">
              <a16:creationId xmlns:a16="http://schemas.microsoft.com/office/drawing/2014/main" id="{73317ED3-B09A-4201-B57E-AD68EB71B00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624187" y="12203858"/>
          <a:ext cx="1068717" cy="1285513"/>
        </a:xfrm>
        <a:prstGeom prst="rect">
          <a:avLst/>
        </a:prstGeom>
      </xdr:spPr>
    </xdr:pic>
    <xdr:clientData/>
  </xdr:oneCellAnchor>
  <xdr:twoCellAnchor>
    <xdr:from>
      <xdr:col>9</xdr:col>
      <xdr:colOff>167412</xdr:colOff>
      <xdr:row>72</xdr:row>
      <xdr:rowOff>57829</xdr:rowOff>
    </xdr:from>
    <xdr:to>
      <xdr:col>10</xdr:col>
      <xdr:colOff>541455</xdr:colOff>
      <xdr:row>74</xdr:row>
      <xdr:rowOff>121107</xdr:rowOff>
    </xdr:to>
    <xdr:sp macro="" textlink="">
      <xdr:nvSpPr>
        <xdr:cNvPr id="7" name="Rechthoek: afgeronde hoeken 1">
          <a:hlinkClick xmlns:r="http://schemas.openxmlformats.org/officeDocument/2006/relationships" r:id="rId12" tooltip="Verder"/>
          <a:extLst>
            <a:ext uri="{FF2B5EF4-FFF2-40B4-BE49-F238E27FC236}">
              <a16:creationId xmlns:a16="http://schemas.microsoft.com/office/drawing/2014/main" id="{FE6C8CDF-8A87-48E0-B903-1A7C1BFDED89}"/>
            </a:ext>
            <a:ext uri="{147F2762-F138-4A5C-976F-8EAC2B608ADB}">
              <a16:predDERef xmlns:a16="http://schemas.microsoft.com/office/drawing/2014/main" pred="{A3D04548-3636-4BFF-9462-E24C537BF9D5}"/>
            </a:ext>
          </a:extLst>
        </xdr:cNvPr>
        <xdr:cNvSpPr/>
      </xdr:nvSpPr>
      <xdr:spPr>
        <a:xfrm>
          <a:off x="5799586" y="12730220"/>
          <a:ext cx="984885" cy="415289"/>
        </a:xfrm>
        <a:prstGeom prst="roundRect">
          <a:avLst/>
        </a:prstGeom>
        <a:solidFill>
          <a:srgbClr val="6BB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7</xdr:col>
      <xdr:colOff>275730</xdr:colOff>
      <xdr:row>72</xdr:row>
      <xdr:rowOff>56405</xdr:rowOff>
    </xdr:from>
    <xdr:to>
      <xdr:col>9</xdr:col>
      <xdr:colOff>72346</xdr:colOff>
      <xdr:row>74</xdr:row>
      <xdr:rowOff>120662</xdr:rowOff>
    </xdr:to>
    <xdr:sp macro="" textlink="">
      <xdr:nvSpPr>
        <xdr:cNvPr id="8" name="Rechthoek: afgeronde hoeken 2">
          <a:hlinkClick xmlns:r="http://schemas.openxmlformats.org/officeDocument/2006/relationships" r:id="rId4" tooltip="Terug"/>
          <a:extLst>
            <a:ext uri="{FF2B5EF4-FFF2-40B4-BE49-F238E27FC236}">
              <a16:creationId xmlns:a16="http://schemas.microsoft.com/office/drawing/2014/main" id="{40496CD4-8D5A-4342-A32D-071EC1BBBE93}"/>
            </a:ext>
            <a:ext uri="{147F2762-F138-4A5C-976F-8EAC2B608ADB}">
              <a16:predDERef xmlns:a16="http://schemas.microsoft.com/office/drawing/2014/main" pred="{E854D32F-8B70-4250-AEEA-2C401577B592}"/>
            </a:ext>
          </a:extLst>
        </xdr:cNvPr>
        <xdr:cNvSpPr/>
      </xdr:nvSpPr>
      <xdr:spPr>
        <a:xfrm>
          <a:off x="4686219" y="12728796"/>
          <a:ext cx="1018301" cy="416268"/>
        </a:xfrm>
        <a:prstGeom prst="roundRect">
          <a:avLst/>
        </a:prstGeom>
        <a:solidFill>
          <a:srgbClr val="6BBF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10083</xdr:colOff>
      <xdr:row>26</xdr:row>
      <xdr:rowOff>140969</xdr:rowOff>
    </xdr:from>
    <xdr:to>
      <xdr:col>16</xdr:col>
      <xdr:colOff>16346</xdr:colOff>
      <xdr:row>109</xdr:row>
      <xdr:rowOff>104775</xdr:rowOff>
    </xdr:to>
    <xdr:sp macro="" textlink="">
      <xdr:nvSpPr>
        <xdr:cNvPr id="462" name="Tekstvak 1">
          <a:extLst>
            <a:ext uri="{FF2B5EF4-FFF2-40B4-BE49-F238E27FC236}">
              <a16:creationId xmlns:a16="http://schemas.microsoft.com/office/drawing/2014/main" id="{A3D04548-3636-4BFF-9462-E24C537BF9D5}"/>
            </a:ext>
          </a:extLst>
        </xdr:cNvPr>
        <xdr:cNvSpPr txBox="1"/>
      </xdr:nvSpPr>
      <xdr:spPr>
        <a:xfrm>
          <a:off x="2048433" y="4846319"/>
          <a:ext cx="8607338" cy="1498473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Salaris</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brutosalaris wordt verlaagd als je gebruik maakt van het Generatiepact. Een lager brutosalaris leidt ook tot een wijziging in je nettosalaris. Dit wordt lager. Op het tabblad Inzicht wordt dit (indicatief) in beeld gebracht.</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noProof="0">
              <a:solidFill>
                <a:srgbClr val="0080A3"/>
              </a:solidFill>
              <a:latin typeface="+mn-lt"/>
              <a:ea typeface="+mn-ea"/>
              <a:cs typeface="+mn-cs"/>
            </a:rPr>
            <a:t>Balansbudget</a:t>
          </a:r>
          <a:endParaRPr lang="nl-NL" sz="1400" b="0" i="0">
            <a:solidFill>
              <a:srgbClr val="0080A3"/>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t>Als</a:t>
          </a:r>
          <a:r>
            <a:rPr lang="nl-NL" sz="1100" baseline="0"/>
            <a:t> je kiest voor het </a:t>
          </a:r>
          <a:r>
            <a:rPr lang="nl-NL" sz="1100"/>
            <a:t>Generatiepact is het gevolg dat je </a:t>
          </a:r>
          <a:r>
            <a:rPr lang="nl-NL" sz="1100" baseline="0"/>
            <a:t>afstand doet van het Balansbudget in de jaren dat </a:t>
          </a:r>
          <a:r>
            <a:rPr lang="nl-NL" sz="1100"/>
            <a:t>je deelneemt aan het Generatiepact (in principe tot aan het einde van jouw dienstverband). Probeer</a:t>
          </a:r>
          <a:r>
            <a:rPr lang="nl-NL" sz="1100" baseline="0"/>
            <a:t> vóór 1 juli je keuze voor het Generatiepact te </a:t>
          </a:r>
          <a:r>
            <a:rPr lang="nl-NL" sz="1100" baseline="0">
              <a:solidFill>
                <a:sysClr val="windowText" lastClr="000000"/>
              </a:solidFill>
            </a:rPr>
            <a:t>maken, zodat je, als je dat wenst, dat kalenderjaar kunt starten met het Generatiepact. Als jouw Balansbudget toegekend is, kan dat het starten met deelname aan het Generatiepact in de tweede helft van dat kalenderjaar in de weg staan. </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1">
            <a:solidFill>
              <a:schemeClr val="accent1">
                <a:lumMod val="75000"/>
              </a:schemeClr>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Eindejaarsuitkering en vakantiebijslag</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afgesproken (bruto)salaris is de grondslag voor je eindejaarsuitkering en je vakantiebijslag. Een lager brutosalaris heeft daarmee een verlagend effect op de eindejaarsuitkering en de vakantiebijslag die je gaat ontvangen.</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Toeslagen (verbonden aan je werk)</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Gebruikmaken van het Generatiepact betekent dat je minder gaat werken. Er kunnen dan </a:t>
          </a:r>
          <a:r>
            <a:rPr lang="nl-NL" sz="1100" b="0" i="0" baseline="0">
              <a:solidFill>
                <a:schemeClr val="tx1"/>
              </a:solidFill>
              <a:effectLst/>
              <a:latin typeface="+mn-lt"/>
              <a:ea typeface="+mn-ea"/>
              <a:cs typeface="+mn-cs"/>
            </a:rPr>
            <a:t>minder werkuren zijn waarop een toeslag (bijvoorbeeld ORT) van toepassing is</a:t>
          </a:r>
          <a:r>
            <a:rPr lang="nl-NL" sz="1100" b="0" i="0" baseline="0">
              <a:solidFill>
                <a:sysClr val="windowText" lastClr="000000"/>
              </a:solidFill>
              <a:effectLst/>
              <a:latin typeface="+mn-lt"/>
              <a:ea typeface="+mn-ea"/>
              <a:cs typeface="+mn-cs"/>
            </a:rPr>
            <a:t>. Het bedrag dat je normaliter ontvangt aan toeslagen zal daarmee ook lager zijn.</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accent5"/>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Ziekte</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Als je ziek wordt tijdens deelname aan het Generatiepact, wordt voor de loondoorbetaling bij ziekte uitgegaan van het (lagere) salaris dat tijdens toepassing van het Generatiepact wordt uitbetaald.</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Ben je aan het re-integreren? Dan zul je eerst volledig moeten herstellen om te kunnen starten met het Generatiepact.</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Vakantie en verlof</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hebt straks minder (wettelijke en bovenwettelijke) vakantie-uren, namelijk op basis van een arbeidsduur van 80%. Hetzelfde geldt voor de extra uren die worden toegekend op basis van artikel 28 (het aangaan van een samenlevingsverband: een huwelijk, notariële acte of gemeentelijke of kerkelijke registratie), artikel 30 (herstelverlofuren) en artikel 32 (aan de arbeidsduur gekoppelde verlofvormen uit de Wet Arbeid en Zorg, bijvoorbeeld kortdurend en langdurend zorgverlof) van de cao.</a:t>
          </a:r>
          <a:endParaRPr lang="nl-NL" sz="1100" b="0" i="0"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noProof="0">
              <a:solidFill>
                <a:srgbClr val="0080A3"/>
              </a:solidFill>
              <a:latin typeface="+mn-lt"/>
              <a:ea typeface="+mn-ea"/>
              <a:cs typeface="+mn-cs"/>
            </a:rPr>
            <a:t>LFB-uren</a:t>
          </a:r>
          <a:endParaRPr lang="nl-NL" sz="1400" b="0" i="0">
            <a:solidFill>
              <a:srgbClr val="0080A3"/>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bouwt geen nieuwe LFB-uren op vanaf de start van het Generatiepact. Je al opgebouwde LFB-uren kan je op drie manieren opmaken: voor, tijdens of na deelname aan het Generatiepact. Let erop dat je tijdig bedenkt wanneer je je bestaande LFB-saldo opneemt en wat voor jou het beste werkt om zo goed mogelijk inzetbaar te blijven. </a:t>
          </a:r>
          <a:r>
            <a:rPr kumimoji="0" lang="nl-NL"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Arial" panose="020B0604020202020204" pitchFamily="34" charset="0"/>
            </a:rPr>
            <a:t>Maak vooraf met HR of jouw leidinggevende afspraken over de opname van LFB-uren en leg vast wanneer je je LFB-uren opneemt. Dat geeft duidelijkheid voor jou en je werkgever.</a:t>
          </a:r>
          <a:endParaRPr lang="nl-NL" sz="1100" b="0" i="0" baseline="0">
            <a:solidFill>
              <a:schemeClr val="accen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Als je je LFB-saldo volledig opneemt </a:t>
          </a:r>
          <a:r>
            <a:rPr lang="nl-NL" sz="1100" b="0" i="0" baseline="0">
              <a:solidFill>
                <a:sysClr val="windowText" lastClr="000000"/>
              </a:solidFill>
              <a:effectLst/>
              <a:latin typeface="+mn-lt"/>
              <a:ea typeface="+mn-ea"/>
              <a:cs typeface="+mn-cs"/>
            </a:rPr>
            <a:t>vóórdat je deelneemt aan het Generatiepact, dan kan je je hele saldo opnemen. Bij </a:t>
          </a:r>
          <a:r>
            <a:rPr lang="nl-NL" sz="1100" i="0">
              <a:effectLst/>
              <a:latin typeface="Calibri" panose="020F0502020204030204" pitchFamily="34" charset="0"/>
              <a:ea typeface="Calibri" panose="020F0502020204030204" pitchFamily="34" charset="0"/>
              <a:cs typeface="Arial" panose="020B0604020202020204" pitchFamily="34" charset="0"/>
            </a:rPr>
            <a:t>een substantiële opname dien je dit vier maanden van te voren aan</a:t>
          </a:r>
          <a:r>
            <a:rPr lang="nl-NL" sz="1100" i="0" baseline="0">
              <a:effectLst/>
              <a:latin typeface="Calibri" panose="020F0502020204030204" pitchFamily="34" charset="0"/>
              <a:ea typeface="Calibri" panose="020F0502020204030204" pitchFamily="34" charset="0"/>
              <a:cs typeface="Arial" panose="020B0604020202020204" pitchFamily="34" charset="0"/>
            </a:rPr>
            <a:t> te vragen.</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ysClr val="windowText" lastClr="000000"/>
              </a:solidFill>
              <a:effectLst/>
              <a:latin typeface="+mn-lt"/>
              <a:ea typeface="+mn-ea"/>
              <a:cs typeface="+mn-cs"/>
            </a:rPr>
            <a:t>Je kan je LFB-uren ook opnemen tijdens (of laten uitbetalen na) </a:t>
          </a:r>
          <a:r>
            <a:rPr lang="nl-NL" sz="1100" b="0" i="0" baseline="0">
              <a:solidFill>
                <a:schemeClr val="dk1"/>
              </a:solidFill>
              <a:effectLst/>
              <a:latin typeface="+mn-lt"/>
              <a:ea typeface="+mn-ea"/>
              <a:cs typeface="+mn-cs"/>
            </a:rPr>
            <a:t>deelname aan het Generatiepact. Dan wordt je resterende LFB-saldo met 20% verminderd. Dit is zo, omdat je 20% minder werkt en dus ook 20% minder uren hoeft op te nemen om hetzelfde effect te hebben. </a:t>
          </a:r>
          <a:r>
            <a:rPr lang="nl-NL" sz="1100" i="0">
              <a:solidFill>
                <a:schemeClr val="dk1"/>
              </a:solidFill>
              <a:effectLst/>
              <a:latin typeface="Calibri" panose="020F0502020204030204" pitchFamily="34" charset="0"/>
              <a:ea typeface="Calibri" panose="020F0502020204030204" pitchFamily="34" charset="0"/>
              <a:cs typeface="Arial" panose="020B0604020202020204" pitchFamily="34" charset="0"/>
            </a:rPr>
            <a:t>Let op: blijf je meer dan 80% werken (dit is het geval als je nu al minder dan 30 uur werkt), dan wordt het saldo LFB-uren dus ook met minder dan 20% verminderd, zodat het effect bij het opnemen van LFB-uren hetzelfde blijft.</a:t>
          </a: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ysClr val="windowText" lastClr="000000"/>
              </a:solidFill>
              <a:effectLst/>
              <a:latin typeface="+mn-lt"/>
              <a:ea typeface="+mn-ea"/>
              <a:cs typeface="+mn-cs"/>
            </a:rPr>
            <a:t>De LFB-uren die nog resteren als jouw deelname aan het Generatiepact eindigt (bij het bereiken van jouw AOW-leeftijd, bij eerdere uitdiensttreding of bij het stoppen van de deelname aan het Generatiepact) worden uitbetaald.</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Let op: zowel het opnemen van LFB-uren als deelname aan het Generatiepact geven je de mogelijkheid om betaald minder te werken. De regelingen zijn echter verschillend en daarmee ook de gevolgen. Als je LFB-uren opneemt, ben je tijdens de opgenomen uren vrij en krijg je vervolgens aan het eind van de maand gewoon je salaris uitbetaald. Je gaat er in salaris dan niet op achteruit en je bouwt gewoon LFB-uren op.</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Pensioen</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Gebruik maken van het Generatiepact heeft geen effect op je pensioenopbouw en het arbeidsongeschiktheidspensioen, als je er voor kiest om deze (ongewijzigd) te houden op het niveau van je oorspronkelijke arbeidsduur. Als je volledig pensioen wilt blijven opbouwen, vraag dan bij Pensioenfonds Zorg &amp; Welzijn een offerte aan voor vrijwillige voortzetting. Je werkgever betaalt 50% van de premie voor de vrijwillige voortzetting. De andere 50% betaal je zelf. Aanvragen dient te gebeuren binnen negen maanden na aanvang van het Generatiepact. Voor meer informatie over het voortzetten van de pensioenopbouw kun je terecht bij het Pensioenfonds Zorg &amp; Welzijn (zie ook onder het tabblad 'Nuttige links')</a:t>
          </a:r>
          <a:r>
            <a:rPr lang="nl-NL" sz="1100" b="0" i="0" u="none" baseline="0">
              <a:solidFill>
                <a:sysClr val="windowText" lastClr="000000"/>
              </a:solidFill>
              <a:effectLst/>
              <a:latin typeface="+mn-lt"/>
              <a:ea typeface="+mn-ea"/>
              <a:cs typeface="+mn-cs"/>
            </a:rPr>
            <a:t>. </a:t>
          </a:r>
          <a:r>
            <a:rPr lang="nl-NL" sz="1100" b="0" i="0" baseline="0">
              <a:solidFill>
                <a:schemeClr val="dk1"/>
              </a:solidFill>
              <a:effectLst/>
              <a:latin typeface="+mn-lt"/>
              <a:ea typeface="+mn-ea"/>
              <a:cs typeface="+mn-cs"/>
            </a:rPr>
            <a:t>Zoek daar op 'vrijwillige voortzetting berekenen'. Hier kan je ook  berekeningen maken waarmee de pensioenopbouw inzichtelijk wordt.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Je kan ook kiezen voor pensioenopbouw op basis van je nieuwe salaris (90%), wat tot gevolg heeft dat je een lagere opbouw hebt gedurende deelname aan het Generatiepact. Dat heeft ook effect op het arbeidsongeschiktheidspensioen. In deze tool wordt er vanuit gegaan dat je kiest voor een volledige pensioenopbouw.</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Regeling Vervroegd Uittreden (RVU)</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chemeClr val="dk1"/>
              </a:solidFill>
              <a:effectLst/>
              <a:latin typeface="+mn-lt"/>
              <a:ea typeface="+mn-ea"/>
              <a:cs typeface="+mn-cs"/>
            </a:rPr>
            <a:t>Een </a:t>
          </a:r>
          <a:r>
            <a:rPr lang="nl-NL" sz="1100" b="0" i="0" baseline="0">
              <a:solidFill>
                <a:schemeClr val="dk1"/>
              </a:solidFill>
              <a:effectLst/>
              <a:latin typeface="+mn-lt"/>
              <a:ea typeface="+mn-ea"/>
              <a:cs typeface="+mn-cs"/>
            </a:rPr>
            <a:t>RVU-regeling is bedoeld voor medewerkers met een zwaar beroep die niet in staat zijn om veilig en gezond hun pensioen te halen. Zij stoppen dan met werken en krijgen een uitkering op AOW-niveau van de werkgever. Ga jij deelnemen aan het Generatiepact, dan kan je geen gebruik maken van een RVU-regeling.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Let op: een werkgever is niet verplicht om een RVU aan te bieden en een werknemer is niet verplicht een (eventueel) aanbod te accepteren. Er geldt wederzijdse vrijwilligheid. Of jouw werkgever een RVU heeft, kan je navragen bij je leidinggevende of bij je HR/P&amp;O-afdeling. Informatie over de RVU-afspraken in de GGZ vind je onder het tabblad 'Nuttige links'. </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Sociale verzekeringen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Salaris, vakantiebijslag en eindejaarsuitkering zijn onderdeel van de grondslag waarop uitkeringen krachtens de sociale verzekeringswetten worden gebaseerd. Een lager salaris als gevolg van het gebruik van het Generatiepact heeft daarmee gevolgen voor de aanspraken die je kan hebben op uitkeringen krachtens de sociale verzekeringswetten. Daarbij kan je denken aan uitkeringen in het kader van WAO/WIA, de WW en de ZW.</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Activeringsregeling, transitievergoeding</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Een lager salaris kan mogelijk ook een lagere uitkering tot gevolg hebben in de situatie van ontslag voor wat betreft de toepassing van de activeringsregeling (hoofdstuk 9 CAO GGZ) en/of de transitievergoeding.</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Toeslagen (los van je werk)</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baseline="0">
              <a:solidFill>
                <a:schemeClr val="dk1"/>
              </a:solidFill>
              <a:effectLst/>
              <a:latin typeface="+mn-lt"/>
              <a:ea typeface="+mn-ea"/>
              <a:cs typeface="+mn-cs"/>
            </a:rPr>
            <a:t>Het gebruik van het Generatiepact kan gevolgen hebben voor de hoogte van te ontvangen subsidies of tegemoetkomingen. Je salaris wordt immers verlaagd. Daarbij kan je denken aan huurtoeslag, zorgtoeslag, kinderopvangtoeslag en kindgebondenbudget. Op 'Inloggen op Mijn toeslagen' (www. belastingdienst.nl) onder tabblad 'Nuttige links' kan je een mogelijk effect doorrekenen.</a:t>
          </a:r>
        </a:p>
        <a:p>
          <a:pPr marL="0" marR="0" lvl="0" indent="0" defTabSz="914400" eaLnBrk="1" fontAlgn="auto" latinLnBrk="0" hangingPunct="1">
            <a:lnSpc>
              <a:spcPct val="100000"/>
            </a:lnSpc>
            <a:spcBef>
              <a:spcPts val="0"/>
            </a:spcBef>
            <a:spcAft>
              <a:spcPts val="0"/>
            </a:spcAft>
            <a:buClrTx/>
            <a:buSzTx/>
            <a:buFontTx/>
            <a:buNone/>
            <a:tabLst/>
            <a:defRPr/>
          </a:pPr>
          <a:endParaRPr lang="nl-NL"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b="1" i="0" baseline="0">
            <a:solidFill>
              <a:schemeClr val="dk1"/>
            </a:solidFill>
            <a:effectLst/>
            <a:latin typeface="+mn-lt"/>
            <a:ea typeface="+mn-ea"/>
            <a:cs typeface="+mn-cs"/>
          </a:endParaRPr>
        </a:p>
        <a:p>
          <a:pPr marL="0" indent="0"/>
          <a:endParaRPr lang="nl-NL" sz="2000" b="1">
            <a:solidFill>
              <a:schemeClr val="accent1">
                <a:lumMod val="75000"/>
              </a:schemeClr>
            </a:solidFill>
            <a:latin typeface="+mn-lt"/>
            <a:ea typeface="+mn-ea"/>
            <a:cs typeface="+mn-cs"/>
          </a:endParaRPr>
        </a:p>
      </xdr:txBody>
    </xdr:sp>
    <xdr:clientData/>
  </xdr:twoCellAnchor>
  <xdr:twoCellAnchor>
    <xdr:from>
      <xdr:col>8</xdr:col>
      <xdr:colOff>50492</xdr:colOff>
      <xdr:row>108</xdr:row>
      <xdr:rowOff>159827</xdr:rowOff>
    </xdr:from>
    <xdr:to>
      <xdr:col>9</xdr:col>
      <xdr:colOff>427682</xdr:colOff>
      <xdr:row>111</xdr:row>
      <xdr:rowOff>16951</xdr:rowOff>
    </xdr:to>
    <xdr:sp macro="" textlink="">
      <xdr:nvSpPr>
        <xdr:cNvPr id="375" name="Rechthoek: afgeronde hoeken 1">
          <a:hlinkClick xmlns:r="http://schemas.openxmlformats.org/officeDocument/2006/relationships" r:id="rId1" tooltip="Verder"/>
          <a:extLst>
            <a:ext uri="{FF2B5EF4-FFF2-40B4-BE49-F238E27FC236}">
              <a16:creationId xmlns:a16="http://schemas.microsoft.com/office/drawing/2014/main" id="{E854D32F-8B70-4250-AEEA-2C401577B592}"/>
            </a:ext>
            <a:ext uri="{147F2762-F138-4A5C-976F-8EAC2B608ADB}">
              <a16:predDERef xmlns:a16="http://schemas.microsoft.com/office/drawing/2014/main" pred="{A3D04548-3636-4BFF-9462-E24C537BF9D5}"/>
            </a:ext>
          </a:extLst>
        </xdr:cNvPr>
        <xdr:cNvSpPr/>
      </xdr:nvSpPr>
      <xdr:spPr>
        <a:xfrm>
          <a:off x="5813117" y="19705127"/>
          <a:ext cx="986790" cy="400049"/>
        </a:xfrm>
        <a:prstGeom prst="roundRect">
          <a:avLst/>
        </a:prstGeom>
        <a:solidFill>
          <a:srgbClr val="E401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editAs="absolute">
    <xdr:from>
      <xdr:col>2</xdr:col>
      <xdr:colOff>29247</xdr:colOff>
      <xdr:row>0</xdr:row>
      <xdr:rowOff>76969</xdr:rowOff>
    </xdr:from>
    <xdr:to>
      <xdr:col>15</xdr:col>
      <xdr:colOff>450494</xdr:colOff>
      <xdr:row>22</xdr:row>
      <xdr:rowOff>133269</xdr:rowOff>
    </xdr:to>
    <xdr:grpSp>
      <xdr:nvGrpSpPr>
        <xdr:cNvPr id="27" name="Groep 26">
          <a:extLst>
            <a:ext uri="{FF2B5EF4-FFF2-40B4-BE49-F238E27FC236}">
              <a16:creationId xmlns:a16="http://schemas.microsoft.com/office/drawing/2014/main" id="{0C9DC8DC-603D-3A9A-D7A7-EC607AB6B7E7}"/>
            </a:ext>
          </a:extLst>
        </xdr:cNvPr>
        <xdr:cNvGrpSpPr/>
      </xdr:nvGrpSpPr>
      <xdr:grpSpPr>
        <a:xfrm>
          <a:off x="2153322" y="76969"/>
          <a:ext cx="8898497" cy="4037750"/>
          <a:chOff x="2039225" y="76969"/>
          <a:chExt cx="8376940" cy="4080825"/>
        </a:xfrm>
      </xdr:grpSpPr>
      <xdr:pic>
        <xdr:nvPicPr>
          <xdr:cNvPr id="4" name="Afbeelding 3" descr="Psychiater en patiënt">
            <a:extLst>
              <a:ext uri="{FF2B5EF4-FFF2-40B4-BE49-F238E27FC236}">
                <a16:creationId xmlns:a16="http://schemas.microsoft.com/office/drawing/2014/main" id="{BCC31A33-5C01-41AF-930B-9ABACC7BBD8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8507" b="27905"/>
          <a:stretch/>
        </xdr:blipFill>
        <xdr:spPr>
          <a:xfrm flipH="1">
            <a:off x="2039225" y="76969"/>
            <a:ext cx="8376940" cy="2757382"/>
          </a:xfrm>
          <a:prstGeom prst="rect">
            <a:avLst/>
          </a:prstGeom>
        </xdr:spPr>
      </xdr:pic>
      <xdr:sp macro="" textlink="">
        <xdr:nvSpPr>
          <xdr:cNvPr id="5" name="Shape 63">
            <a:extLst>
              <a:ext uri="{FF2B5EF4-FFF2-40B4-BE49-F238E27FC236}">
                <a16:creationId xmlns:a16="http://schemas.microsoft.com/office/drawing/2014/main" id="{97E211BC-214A-47A3-9F66-1DE6B9915EFD}"/>
              </a:ext>
            </a:extLst>
          </xdr:cNvPr>
          <xdr:cNvSpPr>
            <a:spLocks noChangeAspect="1"/>
          </xdr:cNvSpPr>
        </xdr:nvSpPr>
        <xdr:spPr>
          <a:xfrm rot="18802777">
            <a:off x="2283968" y="1755768"/>
            <a:ext cx="2236280" cy="2567771"/>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E40150"/>
          </a:solidFill>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sp macro="" textlink="">
        <xdr:nvSpPr>
          <xdr:cNvPr id="7" name="Tekstvak 6">
            <a:extLst>
              <a:ext uri="{FF2B5EF4-FFF2-40B4-BE49-F238E27FC236}">
                <a16:creationId xmlns:a16="http://schemas.microsoft.com/office/drawing/2014/main" id="{1DCFA27E-4359-82C4-B1E1-ADEF1837BD3A}"/>
              </a:ext>
            </a:extLst>
          </xdr:cNvPr>
          <xdr:cNvSpPr txBox="1"/>
        </xdr:nvSpPr>
        <xdr:spPr>
          <a:xfrm>
            <a:off x="2209080" y="2328141"/>
            <a:ext cx="2793866" cy="1464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2400" b="0">
                <a:solidFill>
                  <a:schemeClr val="bg1"/>
                </a:solidFill>
                <a:effectLst/>
                <a:latin typeface="+mn-lt"/>
                <a:ea typeface="+mn-ea"/>
                <a:cs typeface="+mn-cs"/>
              </a:rPr>
              <a:t>Gevolgen</a:t>
            </a:r>
            <a:r>
              <a:rPr lang="nl-NL" sz="2400" b="0" baseline="0">
                <a:solidFill>
                  <a:schemeClr val="bg1"/>
                </a:solidFill>
                <a:effectLst/>
                <a:latin typeface="+mn-lt"/>
                <a:ea typeface="+mn-ea"/>
                <a:cs typeface="+mn-cs"/>
              </a:rPr>
              <a:t> van deelname aan</a:t>
            </a:r>
            <a:r>
              <a:rPr lang="nl-NL" sz="2400" b="0">
                <a:solidFill>
                  <a:schemeClr val="bg1"/>
                </a:solidFill>
                <a:effectLst/>
                <a:latin typeface="+mn-lt"/>
                <a:ea typeface="+mn-ea"/>
                <a:cs typeface="+mn-cs"/>
              </a:rPr>
              <a:t> het Generatiepact</a:t>
            </a:r>
            <a:endParaRPr lang="nl-NL" sz="2400" b="0">
              <a:solidFill>
                <a:schemeClr val="bg1"/>
              </a:solidFill>
              <a:effectLst/>
            </a:endParaRPr>
          </a:p>
          <a:p>
            <a:endParaRPr lang="nl-NL" sz="2400" b="0">
              <a:solidFill>
                <a:schemeClr val="bg1"/>
              </a:solidFill>
            </a:endParaRPr>
          </a:p>
        </xdr:txBody>
      </xdr:sp>
    </xdr:grpSp>
    <xdr:clientData/>
  </xdr:twoCellAnchor>
  <xdr:twoCellAnchor>
    <xdr:from>
      <xdr:col>5</xdr:col>
      <xdr:colOff>477251</xdr:colOff>
      <xdr:row>18</xdr:row>
      <xdr:rowOff>122121</xdr:rowOff>
    </xdr:from>
    <xdr:to>
      <xdr:col>15</xdr:col>
      <xdr:colOff>361950</xdr:colOff>
      <xdr:row>26</xdr:row>
      <xdr:rowOff>28575</xdr:rowOff>
    </xdr:to>
    <xdr:sp macro="" textlink="">
      <xdr:nvSpPr>
        <xdr:cNvPr id="454" name="Tekstvak 24">
          <a:extLst>
            <a:ext uri="{FF2B5EF4-FFF2-40B4-BE49-F238E27FC236}">
              <a16:creationId xmlns:a16="http://schemas.microsoft.com/office/drawing/2014/main" id="{96D170EA-A978-4122-7812-D8131DB0FEDE}"/>
            </a:ext>
          </a:extLst>
        </xdr:cNvPr>
        <xdr:cNvSpPr txBox="1"/>
      </xdr:nvSpPr>
      <xdr:spPr>
        <a:xfrm>
          <a:off x="4611101" y="3379671"/>
          <a:ext cx="6361699" cy="1354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Algemeen</a:t>
          </a:r>
        </a:p>
        <a:p>
          <a:r>
            <a:rPr lang="nl-NL" sz="1100"/>
            <a:t>Als je gebruik maakt van het Generatiepact uit de CAO GGZ ga je minder werken, wordt</a:t>
          </a:r>
          <a:r>
            <a:rPr lang="nl-NL" sz="1100" baseline="0"/>
            <a:t> je salaris aangepast en blijft je pensioenopbouw (als je dit wenst) in stand. Dit heeft een aantal gevolgen, waarvan de meest relevante van financiële aard zijn. Uiteraard kan je met je werkgever andersoortige afspraken maken die gezond werken tot het einde van je loopbaan mogelijk maken. Denk bijvoorbeeld aan een aanpassing van je werk of werkuren. Dergelijke afspraken vallen buiten het bereik van deze rekenhulp.</a:t>
          </a:r>
        </a:p>
        <a:p>
          <a:endParaRPr lang="nl-NL" sz="1100"/>
        </a:p>
      </xdr:txBody>
    </xdr:sp>
    <xdr:clientData/>
  </xdr:twoCellAnchor>
  <xdr:twoCellAnchor>
    <xdr:from>
      <xdr:col>0</xdr:col>
      <xdr:colOff>5715</xdr:colOff>
      <xdr:row>105</xdr:row>
      <xdr:rowOff>53341</xdr:rowOff>
    </xdr:from>
    <xdr:to>
      <xdr:col>1</xdr:col>
      <xdr:colOff>51012</xdr:colOff>
      <xdr:row>115</xdr:row>
      <xdr:rowOff>96340</xdr:rowOff>
    </xdr:to>
    <xdr:sp macro="" textlink="">
      <xdr:nvSpPr>
        <xdr:cNvPr id="450" name="Gelijkbenige driehoek 25">
          <a:extLst>
            <a:ext uri="{FF2B5EF4-FFF2-40B4-BE49-F238E27FC236}">
              <a16:creationId xmlns:a16="http://schemas.microsoft.com/office/drawing/2014/main" id="{A384A066-1FA2-496A-8973-5F3D18E850FF}"/>
            </a:ext>
          </a:extLst>
        </xdr:cNvPr>
        <xdr:cNvSpPr/>
      </xdr:nvSpPr>
      <xdr:spPr>
        <a:xfrm rot="5400000">
          <a:off x="-526536" y="19587967"/>
          <a:ext cx="1852749" cy="788247"/>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14</xdr:col>
      <xdr:colOff>12007</xdr:colOff>
      <xdr:row>107</xdr:row>
      <xdr:rowOff>95924</xdr:rowOff>
    </xdr:from>
    <xdr:ext cx="1068717" cy="1285513"/>
    <xdr:pic>
      <xdr:nvPicPr>
        <xdr:cNvPr id="449" name="Afbeelding 27">
          <a:hlinkClick xmlns:r="http://schemas.openxmlformats.org/officeDocument/2006/relationships" r:id="rId3" tooltip="https://www.oofggz.nl/goedwerkenindeggz/"/>
          <a:extLst>
            <a:ext uri="{FF2B5EF4-FFF2-40B4-BE49-F238E27FC236}">
              <a16:creationId xmlns:a16="http://schemas.microsoft.com/office/drawing/2014/main" id="{033708BB-6594-4B0A-AB16-8B64D22406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32232" y="19460249"/>
          <a:ext cx="1068717" cy="1285513"/>
        </a:xfrm>
        <a:prstGeom prst="rect">
          <a:avLst/>
        </a:prstGeom>
      </xdr:spPr>
    </xdr:pic>
    <xdr:clientData/>
  </xdr:oneCellAnchor>
  <xdr:twoCellAnchor editAs="oneCell">
    <xdr:from>
      <xdr:col>3</xdr:col>
      <xdr:colOff>248365</xdr:colOff>
      <xdr:row>1</xdr:row>
      <xdr:rowOff>169429</xdr:rowOff>
    </xdr:from>
    <xdr:to>
      <xdr:col>4</xdr:col>
      <xdr:colOff>64821</xdr:colOff>
      <xdr:row>4</xdr:row>
      <xdr:rowOff>39168</xdr:rowOff>
    </xdr:to>
    <xdr:pic>
      <xdr:nvPicPr>
        <xdr:cNvPr id="29" name="Graphic 28" descr="Pictogram hamburgermenu met effen opvulling">
          <a:hlinkClick xmlns:r="http://schemas.openxmlformats.org/officeDocument/2006/relationships" r:id="rId5" tooltip="Menu"/>
          <a:extLst>
            <a:ext uri="{FF2B5EF4-FFF2-40B4-BE49-F238E27FC236}">
              <a16:creationId xmlns:a16="http://schemas.microsoft.com/office/drawing/2014/main" id="{942E8272-61E6-4F54-B502-61949D78B62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942304" y="352232"/>
          <a:ext cx="426403" cy="418148"/>
        </a:xfrm>
        <a:prstGeom prst="rect">
          <a:avLst/>
        </a:prstGeom>
      </xdr:spPr>
    </xdr:pic>
    <xdr:clientData/>
  </xdr:twoCellAnchor>
  <xdr:twoCellAnchor editAs="absolute">
    <xdr:from>
      <xdr:col>2</xdr:col>
      <xdr:colOff>177944</xdr:colOff>
      <xdr:row>1</xdr:row>
      <xdr:rowOff>115455</xdr:rowOff>
    </xdr:from>
    <xdr:to>
      <xdr:col>2</xdr:col>
      <xdr:colOff>572915</xdr:colOff>
      <xdr:row>4</xdr:row>
      <xdr:rowOff>11228</xdr:rowOff>
    </xdr:to>
    <xdr:pic>
      <xdr:nvPicPr>
        <xdr:cNvPr id="30" name="Graphic 29" descr="Introductiepagina met effen opvulling">
          <a:hlinkClick xmlns:r="http://schemas.openxmlformats.org/officeDocument/2006/relationships" r:id="rId8" tooltip="Home"/>
          <a:extLst>
            <a:ext uri="{FF2B5EF4-FFF2-40B4-BE49-F238E27FC236}">
              <a16:creationId xmlns:a16="http://schemas.microsoft.com/office/drawing/2014/main" id="{0FC3299E-F63F-44A4-8092-00C7CEF330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186017" y="298258"/>
          <a:ext cx="407353" cy="435610"/>
        </a:xfrm>
        <a:prstGeom prst="rect">
          <a:avLst/>
        </a:prstGeom>
      </xdr:spPr>
    </xdr:pic>
    <xdr:clientData/>
  </xdr:twoCellAnchor>
  <xdr:twoCellAnchor>
    <xdr:from>
      <xdr:col>6</xdr:col>
      <xdr:colOff>163945</xdr:colOff>
      <xdr:row>108</xdr:row>
      <xdr:rowOff>158403</xdr:rowOff>
    </xdr:from>
    <xdr:to>
      <xdr:col>7</xdr:col>
      <xdr:colOff>553596</xdr:colOff>
      <xdr:row>111</xdr:row>
      <xdr:rowOff>16506</xdr:rowOff>
    </xdr:to>
    <xdr:sp macro="" textlink="">
      <xdr:nvSpPr>
        <xdr:cNvPr id="2" name="Rechthoek: afgeronde hoeken 2">
          <a:hlinkClick xmlns:r="http://schemas.openxmlformats.org/officeDocument/2006/relationships" r:id="rId11" tooltip="Terug"/>
          <a:extLst>
            <a:ext uri="{FF2B5EF4-FFF2-40B4-BE49-F238E27FC236}">
              <a16:creationId xmlns:a16="http://schemas.microsoft.com/office/drawing/2014/main" id="{4AC6ADCC-0358-14AD-22E4-B89F24AF309A}"/>
            </a:ext>
            <a:ext uri="{147F2762-F138-4A5C-976F-8EAC2B608ADB}">
              <a16:predDERef xmlns:a16="http://schemas.microsoft.com/office/drawing/2014/main" pred="{E854D32F-8B70-4250-AEEA-2C401577B592}"/>
            </a:ext>
          </a:extLst>
        </xdr:cNvPr>
        <xdr:cNvSpPr/>
      </xdr:nvSpPr>
      <xdr:spPr>
        <a:xfrm>
          <a:off x="4707370" y="19703703"/>
          <a:ext cx="999251" cy="401028"/>
        </a:xfrm>
        <a:prstGeom prst="roundRect">
          <a:avLst/>
        </a:prstGeom>
        <a:solidFill>
          <a:srgbClr val="E401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483870</xdr:colOff>
      <xdr:row>53</xdr:row>
      <xdr:rowOff>0</xdr:rowOff>
    </xdr:from>
    <xdr:to>
      <xdr:col>5</xdr:col>
      <xdr:colOff>502920</xdr:colOff>
      <xdr:row>55</xdr:row>
      <xdr:rowOff>59055</xdr:rowOff>
    </xdr:to>
    <xdr:sp macro="" textlink="">
      <xdr:nvSpPr>
        <xdr:cNvPr id="2" name="Rechthoek: afgeronde hoeken 1">
          <a:hlinkClick xmlns:r="http://schemas.openxmlformats.org/officeDocument/2006/relationships" r:id="rId1" tooltip="Verder"/>
          <a:extLst>
            <a:ext uri="{FF2B5EF4-FFF2-40B4-BE49-F238E27FC236}">
              <a16:creationId xmlns:a16="http://schemas.microsoft.com/office/drawing/2014/main" id="{DC826EE8-914C-E763-5BE9-66A03247C135}"/>
            </a:ext>
          </a:extLst>
        </xdr:cNvPr>
        <xdr:cNvSpPr/>
      </xdr:nvSpPr>
      <xdr:spPr>
        <a:xfrm>
          <a:off x="5303520" y="9144000"/>
          <a:ext cx="990600" cy="421005"/>
        </a:xfrm>
        <a:prstGeom prst="roundRect">
          <a:avLst/>
        </a:prstGeom>
        <a:solidFill>
          <a:srgbClr val="B35A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3</xdr:col>
      <xdr:colOff>45720</xdr:colOff>
      <xdr:row>53</xdr:row>
      <xdr:rowOff>0</xdr:rowOff>
    </xdr:from>
    <xdr:to>
      <xdr:col>4</xdr:col>
      <xdr:colOff>369570</xdr:colOff>
      <xdr:row>55</xdr:row>
      <xdr:rowOff>59055</xdr:rowOff>
    </xdr:to>
    <xdr:sp macro="" textlink="">
      <xdr:nvSpPr>
        <xdr:cNvPr id="6" name="Rechthoek: afgeronde hoeken 5">
          <a:hlinkClick xmlns:r="http://schemas.openxmlformats.org/officeDocument/2006/relationships" r:id="rId2" tooltip="Terug"/>
          <a:extLst>
            <a:ext uri="{FF2B5EF4-FFF2-40B4-BE49-F238E27FC236}">
              <a16:creationId xmlns:a16="http://schemas.microsoft.com/office/drawing/2014/main" id="{79F4B273-34BA-47DF-9B45-E875D5D1DE03}"/>
            </a:ext>
          </a:extLst>
        </xdr:cNvPr>
        <xdr:cNvSpPr/>
      </xdr:nvSpPr>
      <xdr:spPr>
        <a:xfrm>
          <a:off x="4150995" y="9144000"/>
          <a:ext cx="1038225" cy="421005"/>
        </a:xfrm>
        <a:prstGeom prst="roundRect">
          <a:avLst/>
        </a:prstGeom>
        <a:solidFill>
          <a:srgbClr val="B35A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twoCellAnchor editAs="oneCell">
    <xdr:from>
      <xdr:col>1</xdr:col>
      <xdr:colOff>9525</xdr:colOff>
      <xdr:row>1</xdr:row>
      <xdr:rowOff>85725</xdr:rowOff>
    </xdr:from>
    <xdr:to>
      <xdr:col>4</xdr:col>
      <xdr:colOff>16192</xdr:colOff>
      <xdr:row>16</xdr:row>
      <xdr:rowOff>74323</xdr:rowOff>
    </xdr:to>
    <xdr:pic>
      <xdr:nvPicPr>
        <xdr:cNvPr id="5" name="Afbeelding 4" descr="Twee oude mannen geven elkaar een high five geven">
          <a:extLst>
            <a:ext uri="{FF2B5EF4-FFF2-40B4-BE49-F238E27FC236}">
              <a16:creationId xmlns:a16="http://schemas.microsoft.com/office/drawing/2014/main" id="{C2A9628A-D78F-BAE7-47AA-FEF779E9FD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2475" y="266700"/>
          <a:ext cx="4072890" cy="2703223"/>
        </a:xfrm>
        <a:prstGeom prst="rect">
          <a:avLst/>
        </a:prstGeom>
      </xdr:spPr>
    </xdr:pic>
    <xdr:clientData/>
  </xdr:twoCellAnchor>
  <xdr:twoCellAnchor>
    <xdr:from>
      <xdr:col>4</xdr:col>
      <xdr:colOff>19050</xdr:colOff>
      <xdr:row>1</xdr:row>
      <xdr:rowOff>93343</xdr:rowOff>
    </xdr:from>
    <xdr:to>
      <xdr:col>12</xdr:col>
      <xdr:colOff>19050</xdr:colOff>
      <xdr:row>16</xdr:row>
      <xdr:rowOff>74908</xdr:rowOff>
    </xdr:to>
    <xdr:sp macro="" textlink="">
      <xdr:nvSpPr>
        <xdr:cNvPr id="15" name="Rechthoek 6">
          <a:extLst>
            <a:ext uri="{FF2B5EF4-FFF2-40B4-BE49-F238E27FC236}">
              <a16:creationId xmlns:a16="http://schemas.microsoft.com/office/drawing/2014/main" id="{552EF653-6FCD-D3F2-CDEC-9770121CBBA5}"/>
            </a:ext>
          </a:extLst>
        </xdr:cNvPr>
        <xdr:cNvSpPr/>
      </xdr:nvSpPr>
      <xdr:spPr>
        <a:xfrm>
          <a:off x="4838700" y="274318"/>
          <a:ext cx="6496050" cy="2696190"/>
        </a:xfrm>
        <a:prstGeom prst="rect">
          <a:avLst/>
        </a:prstGeom>
        <a:solidFill>
          <a:srgbClr val="B35A1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nl-NL" sz="1100" b="0" i="1">
            <a:solidFill>
              <a:schemeClr val="lt1"/>
            </a:solidFill>
            <a:effectLst/>
            <a:latin typeface="+mn-lt"/>
            <a:ea typeface="+mn-ea"/>
            <a:cs typeface="+mn-cs"/>
          </a:endParaRPr>
        </a:p>
        <a:p>
          <a:endParaRPr lang="nl-NL" sz="1400" b="0" i="0">
            <a:solidFill>
              <a:schemeClr val="lt1"/>
            </a:solidFill>
            <a:effectLst/>
            <a:latin typeface="+mn-lt"/>
            <a:ea typeface="+mn-ea"/>
            <a:cs typeface="+mn-cs"/>
          </a:endParaRPr>
        </a:p>
        <a:p>
          <a:endParaRPr lang="nl-NL" sz="1400" b="0" i="0">
            <a:solidFill>
              <a:schemeClr val="lt1"/>
            </a:solidFill>
            <a:effectLst/>
            <a:latin typeface="+mn-lt"/>
            <a:ea typeface="+mn-ea"/>
            <a:cs typeface="+mn-cs"/>
          </a:endParaRPr>
        </a:p>
        <a:p>
          <a:r>
            <a:rPr lang="nl-NL" sz="2400" b="0" i="0">
              <a:solidFill>
                <a:schemeClr val="lt1"/>
              </a:solidFill>
              <a:effectLst/>
              <a:latin typeface="+mn-lt"/>
              <a:ea typeface="+mn-ea"/>
              <a:cs typeface="+mn-cs"/>
            </a:rPr>
            <a:t>Kan ik deelnemen aan het Generatiepact?</a:t>
          </a:r>
          <a:endParaRPr lang="nl-NL" sz="2400" i="0">
            <a:effectLst/>
          </a:endParaRPr>
        </a:p>
        <a:p>
          <a:endParaRPr lang="nl-NL" sz="1100" b="0" i="0" baseline="0">
            <a:solidFill>
              <a:schemeClr val="lt1"/>
            </a:solidFill>
            <a:effectLst/>
            <a:latin typeface="+mn-lt"/>
            <a:ea typeface="+mn-ea"/>
            <a:cs typeface="+mn-cs"/>
          </a:endParaRPr>
        </a:p>
        <a:p>
          <a:endParaRPr lang="nl-NL" sz="1100" b="0" i="0" baseline="0">
            <a:solidFill>
              <a:schemeClr val="lt1"/>
            </a:solidFill>
            <a:effectLst/>
            <a:latin typeface="+mn-lt"/>
            <a:ea typeface="+mn-ea"/>
            <a:cs typeface="+mn-cs"/>
          </a:endParaRPr>
        </a:p>
        <a:p>
          <a:r>
            <a:rPr lang="nl-NL" sz="1100" b="0" i="0" baseline="0">
              <a:solidFill>
                <a:schemeClr val="lt1"/>
              </a:solidFill>
              <a:effectLst/>
              <a:latin typeface="+mn-lt"/>
              <a:ea typeface="+mn-ea"/>
              <a:cs typeface="+mn-cs"/>
            </a:rPr>
            <a:t>De volgende stap is toetsen of je daadwerkelijk kunt deelnemen aan de regeling. </a:t>
          </a:r>
        </a:p>
        <a:p>
          <a:r>
            <a:rPr lang="nl-NL" sz="1100" b="0" i="0" baseline="0">
              <a:solidFill>
                <a:schemeClr val="lt1"/>
              </a:solidFill>
              <a:effectLst/>
              <a:latin typeface="+mn-lt"/>
              <a:ea typeface="+mn-ea"/>
              <a:cs typeface="+mn-cs"/>
            </a:rPr>
            <a:t>Kortom, voldoe je aan de voorwaarden die de cao stelt? </a:t>
          </a:r>
        </a:p>
        <a:p>
          <a:endParaRPr lang="nl-NL" sz="1100" b="0" i="0" baseline="0">
            <a:solidFill>
              <a:schemeClr val="lt1"/>
            </a:solidFill>
            <a:effectLst/>
            <a:latin typeface="+mn-lt"/>
            <a:ea typeface="+mn-ea"/>
            <a:cs typeface="+mn-cs"/>
          </a:endParaRPr>
        </a:p>
        <a:p>
          <a:r>
            <a:rPr lang="nl-NL" sz="1100" b="0" i="0" baseline="0">
              <a:solidFill>
                <a:schemeClr val="lt1"/>
              </a:solidFill>
              <a:effectLst/>
              <a:latin typeface="+mn-lt"/>
              <a:ea typeface="+mn-ea"/>
              <a:cs typeface="+mn-cs"/>
            </a:rPr>
            <a:t>Om dat te bepalen vragen we je om de volgende vragen te beantwoorden.</a:t>
          </a:r>
          <a:endParaRPr lang="nl-NL" sz="1100">
            <a:effectLst/>
          </a:endParaRPr>
        </a:p>
        <a:p>
          <a:pPr algn="l"/>
          <a:endParaRPr lang="nl-NL" sz="1100"/>
        </a:p>
      </xdr:txBody>
    </xdr:sp>
    <xdr:clientData/>
  </xdr:twoCellAnchor>
  <xdr:twoCellAnchor>
    <xdr:from>
      <xdr:col>0</xdr:col>
      <xdr:colOff>0</xdr:colOff>
      <xdr:row>48</xdr:row>
      <xdr:rowOff>171451</xdr:rowOff>
    </xdr:from>
    <xdr:to>
      <xdr:col>1</xdr:col>
      <xdr:colOff>67945</xdr:colOff>
      <xdr:row>59</xdr:row>
      <xdr:rowOff>47946</xdr:rowOff>
    </xdr:to>
    <xdr:sp macro="" textlink="">
      <xdr:nvSpPr>
        <xdr:cNvPr id="10" name="Gelijkbenige driehoek 9">
          <a:extLst>
            <a:ext uri="{FF2B5EF4-FFF2-40B4-BE49-F238E27FC236}">
              <a16:creationId xmlns:a16="http://schemas.microsoft.com/office/drawing/2014/main" id="{9D7173FB-6CFB-4C9E-AE71-3E4194FD72CF}"/>
            </a:ext>
          </a:extLst>
        </xdr:cNvPr>
        <xdr:cNvSpPr/>
      </xdr:nvSpPr>
      <xdr:spPr>
        <a:xfrm rot="5400000">
          <a:off x="-528162" y="9005413"/>
          <a:ext cx="1867220" cy="810895"/>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8</xdr:col>
      <xdr:colOff>472612</xdr:colOff>
      <xdr:row>51</xdr:row>
      <xdr:rowOff>53860</xdr:rowOff>
    </xdr:from>
    <xdr:ext cx="1068717" cy="1285513"/>
    <xdr:pic>
      <xdr:nvPicPr>
        <xdr:cNvPr id="11" name="Afbeelding 10">
          <a:hlinkClick xmlns:r="http://schemas.openxmlformats.org/officeDocument/2006/relationships" r:id="rId4" tooltip="https://www.oofggz.nl/goedwerkenindeggz/"/>
          <a:extLst>
            <a:ext uri="{FF2B5EF4-FFF2-40B4-BE49-F238E27FC236}">
              <a16:creationId xmlns:a16="http://schemas.microsoft.com/office/drawing/2014/main" id="{FD23077D-9C47-4678-830D-C58277CF56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49912" y="8902585"/>
          <a:ext cx="1068717" cy="1285513"/>
        </a:xfrm>
        <a:prstGeom prst="rect">
          <a:avLst/>
        </a:prstGeom>
      </xdr:spPr>
    </xdr:pic>
    <xdr:clientData/>
  </xdr:oneCellAnchor>
  <xdr:twoCellAnchor editAs="oneCell">
    <xdr:from>
      <xdr:col>10</xdr:col>
      <xdr:colOff>583904</xdr:colOff>
      <xdr:row>2</xdr:row>
      <xdr:rowOff>117474</xdr:rowOff>
    </xdr:from>
    <xdr:to>
      <xdr:col>11</xdr:col>
      <xdr:colOff>397849</xdr:colOff>
      <xdr:row>4</xdr:row>
      <xdr:rowOff>168909</xdr:rowOff>
    </xdr:to>
    <xdr:pic>
      <xdr:nvPicPr>
        <xdr:cNvPr id="12" name="Graphic 11" descr="Pictogram hamburgermenu met effen opvulling">
          <a:hlinkClick xmlns:r="http://schemas.openxmlformats.org/officeDocument/2006/relationships" r:id="rId6" tooltip="Menu"/>
          <a:extLst>
            <a:ext uri="{FF2B5EF4-FFF2-40B4-BE49-F238E27FC236}">
              <a16:creationId xmlns:a16="http://schemas.microsoft.com/office/drawing/2014/main" id="{CFC20745-ACCA-4CB8-A904-E00FB318A8A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680404" y="479424"/>
          <a:ext cx="418783" cy="416243"/>
        </a:xfrm>
        <a:prstGeom prst="rect">
          <a:avLst/>
        </a:prstGeom>
      </xdr:spPr>
    </xdr:pic>
    <xdr:clientData/>
  </xdr:twoCellAnchor>
  <xdr:twoCellAnchor editAs="absolute">
    <xdr:from>
      <xdr:col>10</xdr:col>
      <xdr:colOff>38100</xdr:colOff>
      <xdr:row>2</xdr:row>
      <xdr:rowOff>92392</xdr:rowOff>
    </xdr:from>
    <xdr:to>
      <xdr:col>10</xdr:col>
      <xdr:colOff>434422</xdr:colOff>
      <xdr:row>5</xdr:row>
      <xdr:rowOff>2212</xdr:rowOff>
    </xdr:to>
    <xdr:pic>
      <xdr:nvPicPr>
        <xdr:cNvPr id="13" name="Graphic 10" descr="Introductiepagina met effen opvulling">
          <a:hlinkClick xmlns:r="http://schemas.openxmlformats.org/officeDocument/2006/relationships" r:id="rId9" tooltip="Home"/>
          <a:extLst>
            <a:ext uri="{FF2B5EF4-FFF2-40B4-BE49-F238E27FC236}">
              <a16:creationId xmlns:a16="http://schemas.microsoft.com/office/drawing/2014/main" id="{20BA22FF-DEEF-49AD-B68F-EFEBC4564AB9}"/>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134600" y="457200"/>
          <a:ext cx="383940" cy="447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47150</xdr:colOff>
      <xdr:row>20</xdr:row>
      <xdr:rowOff>39288</xdr:rowOff>
    </xdr:from>
    <xdr:to>
      <xdr:col>14</xdr:col>
      <xdr:colOff>506730</xdr:colOff>
      <xdr:row>34</xdr:row>
      <xdr:rowOff>66675</xdr:rowOff>
    </xdr:to>
    <xdr:sp macro="" textlink="">
      <xdr:nvSpPr>
        <xdr:cNvPr id="22" name="Tekstvak 1">
          <a:extLst>
            <a:ext uri="{FF2B5EF4-FFF2-40B4-BE49-F238E27FC236}">
              <a16:creationId xmlns:a16="http://schemas.microsoft.com/office/drawing/2014/main" id="{1FB32059-020C-429B-B379-D2D2A0C3582E}"/>
            </a:ext>
          </a:extLst>
        </xdr:cNvPr>
        <xdr:cNvSpPr txBox="1"/>
      </xdr:nvSpPr>
      <xdr:spPr>
        <a:xfrm>
          <a:off x="828200" y="3658788"/>
          <a:ext cx="10860880" cy="256103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nl-NL" sz="1400" b="0" i="0">
            <a:solidFill>
              <a:srgbClr val="0080A3"/>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Salaris</a:t>
          </a:r>
        </a:p>
        <a:p>
          <a:r>
            <a:rPr lang="nl-NL" sz="1100" b="0" i="0" baseline="0">
              <a:solidFill>
                <a:schemeClr val="dk1"/>
              </a:solidFill>
              <a:effectLst/>
              <a:latin typeface="+mn-lt"/>
              <a:ea typeface="+mn-ea"/>
              <a:cs typeface="+mn-cs"/>
            </a:rPr>
            <a:t>Om te kunnen laten zien wat de effecten zijn voor je salaris, vragen we je om hierna eerst je huidige bruto(maand)salaris (zonder toeslagen) op te geven. Dit is het (bruto)salaris dat je ontvangt op basis van het aantal uren dat je nu werkt. Je vindt dit (bruto)salaris terug op je salarisstrook.</a:t>
          </a:r>
          <a:endParaRPr lang="nl-NL" sz="20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400" b="0" i="0">
            <a:solidFill>
              <a:srgbClr val="0080A3"/>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400" b="0" i="0">
              <a:solidFill>
                <a:srgbClr val="0080A3"/>
              </a:solidFill>
              <a:latin typeface="+mn-lt"/>
              <a:ea typeface="+mn-ea"/>
              <a:cs typeface="+mn-cs"/>
            </a:rPr>
            <a:t>LFB en het</a:t>
          </a:r>
          <a:r>
            <a:rPr lang="nl-NL" sz="1400" b="0" i="0" baseline="0">
              <a:solidFill>
                <a:srgbClr val="0080A3"/>
              </a:solidFill>
              <a:latin typeface="+mn-lt"/>
              <a:ea typeface="+mn-ea"/>
              <a:cs typeface="+mn-cs"/>
            </a:rPr>
            <a:t> Generatiepact</a:t>
          </a:r>
          <a:endParaRPr lang="nl-NL" sz="1400" b="0" i="0">
            <a:solidFill>
              <a:srgbClr val="0080A3"/>
            </a:solidFill>
            <a:latin typeface="+mn-lt"/>
            <a:ea typeface="+mn-ea"/>
            <a:cs typeface="+mn-cs"/>
          </a:endParaRPr>
        </a:p>
        <a:p>
          <a:r>
            <a:rPr lang="nl-NL" sz="1100" b="0" i="0" baseline="0">
              <a:solidFill>
                <a:sysClr val="windowText" lastClr="000000"/>
              </a:solidFill>
              <a:latin typeface="+mn-lt"/>
              <a:ea typeface="+mn-ea"/>
              <a:cs typeface="+mn-cs"/>
            </a:rPr>
            <a:t>Met het LFB-verlof kan je minder werken met behoud van salaris. Voordat je daadwerkelijk gebruik kan maken van het Generatiepact kan je eerst je resterende saldo aan LFB-uren opmaken. </a:t>
          </a:r>
        </a:p>
        <a:p>
          <a:r>
            <a:rPr lang="nl-NL" sz="1100" b="0" i="0" baseline="0">
              <a:solidFill>
                <a:sysClr val="windowText" lastClr="000000"/>
              </a:solidFill>
              <a:latin typeface="+mn-lt"/>
              <a:ea typeface="+mn-ea"/>
              <a:cs typeface="+mn-cs"/>
            </a:rPr>
            <a:t>Vul hier het saldo LFB-uren in dat je op dit moment hebt. Je vindt het LFB-saldo terug op je salarisstrook of in het roosterprogramma dat je werkgever gebruikt. </a:t>
          </a:r>
        </a:p>
        <a:p>
          <a:r>
            <a:rPr lang="nl-NL" sz="1100" b="0" i="0" baseline="0">
              <a:solidFill>
                <a:sysClr val="windowText" lastClr="000000"/>
              </a:solidFill>
              <a:latin typeface="+mn-lt"/>
              <a:ea typeface="+mn-ea"/>
              <a:cs typeface="+mn-cs"/>
            </a:rPr>
            <a:t>We vragen je ook op te geven hoe je deze uren wilt gaan opnemen.</a:t>
          </a:r>
        </a:p>
        <a:p>
          <a:endParaRPr lang="nl-NL" sz="1100" b="0" i="0" baseline="0">
            <a:solidFill>
              <a:sysClr val="windowText" lastClr="000000"/>
            </a:solidFill>
            <a:latin typeface="+mn-lt"/>
            <a:ea typeface="+mn-ea"/>
            <a:cs typeface="+mn-cs"/>
          </a:endParaRPr>
        </a:p>
      </xdr:txBody>
    </xdr:sp>
    <xdr:clientData/>
  </xdr:twoCellAnchor>
  <xdr:twoCellAnchor>
    <xdr:from>
      <xdr:col>7</xdr:col>
      <xdr:colOff>529590</xdr:colOff>
      <xdr:row>66</xdr:row>
      <xdr:rowOff>87630</xdr:rowOff>
    </xdr:from>
    <xdr:to>
      <xdr:col>8</xdr:col>
      <xdr:colOff>224790</xdr:colOff>
      <xdr:row>68</xdr:row>
      <xdr:rowOff>142875</xdr:rowOff>
    </xdr:to>
    <xdr:sp macro="" textlink="">
      <xdr:nvSpPr>
        <xdr:cNvPr id="3" name="Rechthoek: afgeronde hoeken 2">
          <a:hlinkClick xmlns:r="http://schemas.openxmlformats.org/officeDocument/2006/relationships" r:id="rId1" tooltip="Verder"/>
          <a:extLst>
            <a:ext uri="{FF2B5EF4-FFF2-40B4-BE49-F238E27FC236}">
              <a16:creationId xmlns:a16="http://schemas.microsoft.com/office/drawing/2014/main" id="{92EA42C7-0147-465D-A3C0-9519CA270651}"/>
            </a:ext>
          </a:extLst>
        </xdr:cNvPr>
        <xdr:cNvSpPr/>
      </xdr:nvSpPr>
      <xdr:spPr>
        <a:xfrm>
          <a:off x="5368290" y="11346180"/>
          <a:ext cx="1009650" cy="417195"/>
        </a:xfrm>
        <a:prstGeom prst="roundRect">
          <a:avLst/>
        </a:prstGeom>
        <a:solidFill>
          <a:srgbClr val="8244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6</xdr:col>
      <xdr:colOff>354330</xdr:colOff>
      <xdr:row>66</xdr:row>
      <xdr:rowOff>87630</xdr:rowOff>
    </xdr:from>
    <xdr:to>
      <xdr:col>7</xdr:col>
      <xdr:colOff>415290</xdr:colOff>
      <xdr:row>68</xdr:row>
      <xdr:rowOff>142875</xdr:rowOff>
    </xdr:to>
    <xdr:sp macro="" textlink="">
      <xdr:nvSpPr>
        <xdr:cNvPr id="5" name="Rechthoek: afgeronde hoeken 4">
          <a:hlinkClick xmlns:r="http://schemas.openxmlformats.org/officeDocument/2006/relationships" r:id="rId2" tooltip="Terug"/>
          <a:extLst>
            <a:ext uri="{FF2B5EF4-FFF2-40B4-BE49-F238E27FC236}">
              <a16:creationId xmlns:a16="http://schemas.microsoft.com/office/drawing/2014/main" id="{C45B25EB-DE9C-4CE3-9BC5-F9874619F583}"/>
            </a:ext>
          </a:extLst>
        </xdr:cNvPr>
        <xdr:cNvSpPr/>
      </xdr:nvSpPr>
      <xdr:spPr>
        <a:xfrm>
          <a:off x="4231005" y="11346180"/>
          <a:ext cx="1022985" cy="417195"/>
        </a:xfrm>
        <a:prstGeom prst="roundRect">
          <a:avLst/>
        </a:prstGeom>
        <a:solidFill>
          <a:srgbClr val="8244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twoCellAnchor editAs="absolute">
    <xdr:from>
      <xdr:col>0</xdr:col>
      <xdr:colOff>0</xdr:colOff>
      <xdr:row>0</xdr:row>
      <xdr:rowOff>1905</xdr:rowOff>
    </xdr:from>
    <xdr:to>
      <xdr:col>5</xdr:col>
      <xdr:colOff>531178</xdr:colOff>
      <xdr:row>18</xdr:row>
      <xdr:rowOff>1270</xdr:rowOff>
    </xdr:to>
    <xdr:sp macro="" textlink="">
      <xdr:nvSpPr>
        <xdr:cNvPr id="2" name="Rechthoekige driehoek 1">
          <a:extLst>
            <a:ext uri="{FF2B5EF4-FFF2-40B4-BE49-F238E27FC236}">
              <a16:creationId xmlns:a16="http://schemas.microsoft.com/office/drawing/2014/main" id="{4326B25B-BA4E-4343-88BE-9224E44168B0}"/>
            </a:ext>
          </a:extLst>
        </xdr:cNvPr>
        <xdr:cNvSpPr/>
      </xdr:nvSpPr>
      <xdr:spPr>
        <a:xfrm flipV="1">
          <a:off x="0" y="1905"/>
          <a:ext cx="3798253" cy="3256915"/>
        </a:xfrm>
        <a:prstGeom prst="rtTriangle">
          <a:avLst/>
        </a:prstGeom>
        <a:solidFill>
          <a:srgbClr val="82449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0</xdr:col>
      <xdr:colOff>723896</xdr:colOff>
      <xdr:row>3</xdr:row>
      <xdr:rowOff>28575</xdr:rowOff>
    </xdr:from>
    <xdr:to>
      <xdr:col>11</xdr:col>
      <xdr:colOff>340993</xdr:colOff>
      <xdr:row>17</xdr:row>
      <xdr:rowOff>83820</xdr:rowOff>
    </xdr:to>
    <xdr:pic>
      <xdr:nvPicPr>
        <xdr:cNvPr id="23" name="Afbeelding 7" descr="Potloden">
          <a:extLst>
            <a:ext uri="{FF2B5EF4-FFF2-40B4-BE49-F238E27FC236}">
              <a16:creationId xmlns:a16="http://schemas.microsoft.com/office/drawing/2014/main" id="{F9B67C63-8D74-989F-EEFD-44F206D62C6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50" t="18095" r="-2050" b="35907"/>
        <a:stretch/>
      </xdr:blipFill>
      <xdr:spPr>
        <a:xfrm flipH="1">
          <a:off x="723896" y="571500"/>
          <a:ext cx="8284847" cy="2590800"/>
        </a:xfrm>
        <a:prstGeom prst="rect">
          <a:avLst/>
        </a:prstGeom>
      </xdr:spPr>
    </xdr:pic>
    <xdr:clientData/>
  </xdr:twoCellAnchor>
  <xdr:twoCellAnchor editAs="absolute">
    <xdr:from>
      <xdr:col>10</xdr:col>
      <xdr:colOff>37227</xdr:colOff>
      <xdr:row>5</xdr:row>
      <xdr:rowOff>55366</xdr:rowOff>
    </xdr:from>
    <xdr:to>
      <xdr:col>13</xdr:col>
      <xdr:colOff>40009</xdr:colOff>
      <xdr:row>17</xdr:row>
      <xdr:rowOff>57346</xdr:rowOff>
    </xdr:to>
    <xdr:sp macro="" textlink="">
      <xdr:nvSpPr>
        <xdr:cNvPr id="24" name="Shape 63">
          <a:extLst>
            <a:ext uri="{FF2B5EF4-FFF2-40B4-BE49-F238E27FC236}">
              <a16:creationId xmlns:a16="http://schemas.microsoft.com/office/drawing/2014/main" id="{A1AB2B2F-138A-4F46-827B-924B061E7778}"/>
            </a:ext>
          </a:extLst>
        </xdr:cNvPr>
        <xdr:cNvSpPr/>
      </xdr:nvSpPr>
      <xdr:spPr>
        <a:xfrm rot="18904328">
          <a:off x="8095377" y="960241"/>
          <a:ext cx="1983982" cy="2173680"/>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82449C"/>
        </a:solidFill>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clientData/>
  </xdr:twoCellAnchor>
  <xdr:twoCellAnchor>
    <xdr:from>
      <xdr:col>9</xdr:col>
      <xdr:colOff>902970</xdr:colOff>
      <xdr:row>9</xdr:row>
      <xdr:rowOff>11430</xdr:rowOff>
    </xdr:from>
    <xdr:to>
      <xdr:col>13</xdr:col>
      <xdr:colOff>5715</xdr:colOff>
      <xdr:row>14</xdr:row>
      <xdr:rowOff>112395</xdr:rowOff>
    </xdr:to>
    <xdr:sp macro="" textlink="">
      <xdr:nvSpPr>
        <xdr:cNvPr id="9" name="Tekstvak 8">
          <a:extLst>
            <a:ext uri="{FF2B5EF4-FFF2-40B4-BE49-F238E27FC236}">
              <a16:creationId xmlns:a16="http://schemas.microsoft.com/office/drawing/2014/main" id="{5FE92E9F-F5DC-1DA2-5287-F8931B2FFCE3}"/>
            </a:ext>
          </a:extLst>
        </xdr:cNvPr>
        <xdr:cNvSpPr txBox="1"/>
      </xdr:nvSpPr>
      <xdr:spPr>
        <a:xfrm>
          <a:off x="8008620" y="1640205"/>
          <a:ext cx="2036445" cy="1005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2400">
              <a:solidFill>
                <a:schemeClr val="bg1"/>
              </a:solidFill>
            </a:rPr>
            <a:t>Mijn gegevens</a:t>
          </a:r>
        </a:p>
      </xdr:txBody>
    </xdr:sp>
    <xdr:clientData/>
  </xdr:twoCellAnchor>
  <xdr:twoCellAnchor>
    <xdr:from>
      <xdr:col>0</xdr:col>
      <xdr:colOff>0</xdr:colOff>
      <xdr:row>63</xdr:row>
      <xdr:rowOff>0</xdr:rowOff>
    </xdr:from>
    <xdr:to>
      <xdr:col>1</xdr:col>
      <xdr:colOff>66040</xdr:colOff>
      <xdr:row>73</xdr:row>
      <xdr:rowOff>63185</xdr:rowOff>
    </xdr:to>
    <xdr:sp macro="" textlink="">
      <xdr:nvSpPr>
        <xdr:cNvPr id="10" name="Gelijkbenige driehoek 9">
          <a:extLst>
            <a:ext uri="{FF2B5EF4-FFF2-40B4-BE49-F238E27FC236}">
              <a16:creationId xmlns:a16="http://schemas.microsoft.com/office/drawing/2014/main" id="{2CCD704F-44E7-4F01-BA7B-A8359232E4D6}"/>
            </a:ext>
          </a:extLst>
        </xdr:cNvPr>
        <xdr:cNvSpPr/>
      </xdr:nvSpPr>
      <xdr:spPr>
        <a:xfrm rot="5400000">
          <a:off x="-531973" y="12495373"/>
          <a:ext cx="1872935" cy="808990"/>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12</xdr:col>
      <xdr:colOff>76372</xdr:colOff>
      <xdr:row>65</xdr:row>
      <xdr:rowOff>71004</xdr:rowOff>
    </xdr:from>
    <xdr:ext cx="1068717" cy="1285513"/>
    <xdr:pic>
      <xdr:nvPicPr>
        <xdr:cNvPr id="11" name="Afbeelding 10">
          <a:hlinkClick xmlns:r="http://schemas.openxmlformats.org/officeDocument/2006/relationships" r:id="rId4" tooltip="https://www.oofggz.nl/goedwerkenindeggz/"/>
          <a:extLst>
            <a:ext uri="{FF2B5EF4-FFF2-40B4-BE49-F238E27FC236}">
              <a16:creationId xmlns:a16="http://schemas.microsoft.com/office/drawing/2014/main" id="{BE6EEEEE-AC0C-48FC-9A9B-B67382F8B6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53722" y="12396354"/>
          <a:ext cx="1068717" cy="1285513"/>
        </a:xfrm>
        <a:prstGeom prst="rect">
          <a:avLst/>
        </a:prstGeom>
      </xdr:spPr>
    </xdr:pic>
    <xdr:clientData/>
  </xdr:oneCellAnchor>
  <xdr:twoCellAnchor editAs="oneCell">
    <xdr:from>
      <xdr:col>9</xdr:col>
      <xdr:colOff>321010</xdr:colOff>
      <xdr:row>14</xdr:row>
      <xdr:rowOff>75564</xdr:rowOff>
    </xdr:from>
    <xdr:to>
      <xdr:col>9</xdr:col>
      <xdr:colOff>739793</xdr:colOff>
      <xdr:row>16</xdr:row>
      <xdr:rowOff>135572</xdr:rowOff>
    </xdr:to>
    <xdr:pic>
      <xdr:nvPicPr>
        <xdr:cNvPr id="12" name="Graphic 11" descr="Pictogram hamburgermenu met effen opvulling">
          <a:hlinkClick xmlns:r="http://schemas.openxmlformats.org/officeDocument/2006/relationships" r:id="rId6" tooltip="Menu"/>
          <a:extLst>
            <a:ext uri="{FF2B5EF4-FFF2-40B4-BE49-F238E27FC236}">
              <a16:creationId xmlns:a16="http://schemas.microsoft.com/office/drawing/2014/main" id="{5E99E225-403D-4C58-84E6-068745F7CB3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426660" y="2609214"/>
          <a:ext cx="422593" cy="418148"/>
        </a:xfrm>
        <a:prstGeom prst="rect">
          <a:avLst/>
        </a:prstGeom>
      </xdr:spPr>
    </xdr:pic>
    <xdr:clientData/>
  </xdr:twoCellAnchor>
  <xdr:twoCellAnchor editAs="absolute">
    <xdr:from>
      <xdr:col>8</xdr:col>
      <xdr:colOff>744851</xdr:colOff>
      <xdr:row>14</xdr:row>
      <xdr:rowOff>53340</xdr:rowOff>
    </xdr:from>
    <xdr:to>
      <xdr:col>9</xdr:col>
      <xdr:colOff>167718</xdr:colOff>
      <xdr:row>16</xdr:row>
      <xdr:rowOff>132705</xdr:rowOff>
    </xdr:to>
    <xdr:pic>
      <xdr:nvPicPr>
        <xdr:cNvPr id="13" name="Graphic 10" descr="Introductiepagina met effen opvulling">
          <a:hlinkClick xmlns:r="http://schemas.openxmlformats.org/officeDocument/2006/relationships" r:id="rId9" tooltip="Home"/>
          <a:extLst>
            <a:ext uri="{FF2B5EF4-FFF2-40B4-BE49-F238E27FC236}">
              <a16:creationId xmlns:a16="http://schemas.microsoft.com/office/drawing/2014/main" id="{59A1CC7B-C2B0-4D2E-A36B-65066B48E201}"/>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884666" y="2590800"/>
          <a:ext cx="380130" cy="447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403859</xdr:colOff>
      <xdr:row>1</xdr:row>
      <xdr:rowOff>49530</xdr:rowOff>
    </xdr:from>
    <xdr:to>
      <xdr:col>5</xdr:col>
      <xdr:colOff>663072</xdr:colOff>
      <xdr:row>18</xdr:row>
      <xdr:rowOff>54292</xdr:rowOff>
    </xdr:to>
    <xdr:pic>
      <xdr:nvPicPr>
        <xdr:cNvPr id="10" name="Afbeelding 9" descr="Handen die kleurstalen vasthouden">
          <a:extLst>
            <a:ext uri="{FF2B5EF4-FFF2-40B4-BE49-F238E27FC236}">
              <a16:creationId xmlns:a16="http://schemas.microsoft.com/office/drawing/2014/main" id="{67432CDA-9946-F283-49EA-572E72BD2CC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630" b="29364"/>
        <a:stretch/>
      </xdr:blipFill>
      <xdr:spPr>
        <a:xfrm>
          <a:off x="1146809" y="230505"/>
          <a:ext cx="8016373" cy="3080385"/>
        </a:xfrm>
        <a:prstGeom prst="rect">
          <a:avLst/>
        </a:prstGeom>
      </xdr:spPr>
    </xdr:pic>
    <xdr:clientData/>
  </xdr:twoCellAnchor>
  <xdr:twoCellAnchor editAs="absolute">
    <xdr:from>
      <xdr:col>1</xdr:col>
      <xdr:colOff>2836545</xdr:colOff>
      <xdr:row>19</xdr:row>
      <xdr:rowOff>1</xdr:rowOff>
    </xdr:from>
    <xdr:to>
      <xdr:col>5</xdr:col>
      <xdr:colOff>1124902</xdr:colOff>
      <xdr:row>27</xdr:row>
      <xdr:rowOff>76201</xdr:rowOff>
    </xdr:to>
    <xdr:sp macro="" textlink="">
      <xdr:nvSpPr>
        <xdr:cNvPr id="19" name="Tekstvak 1">
          <a:extLst>
            <a:ext uri="{FF2B5EF4-FFF2-40B4-BE49-F238E27FC236}">
              <a16:creationId xmlns:a16="http://schemas.microsoft.com/office/drawing/2014/main" id="{2DC9E5FD-21D9-4A61-9A69-B188C0C61E8E}"/>
            </a:ext>
          </a:extLst>
        </xdr:cNvPr>
        <xdr:cNvSpPr txBox="1"/>
      </xdr:nvSpPr>
      <xdr:spPr>
        <a:xfrm>
          <a:off x="3583305" y="3438526"/>
          <a:ext cx="6028372" cy="15240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lang="nl-NL" sz="1600" b="0">
            <a:solidFill>
              <a:srgbClr val="0080A3"/>
            </a:solidFill>
            <a:latin typeface="+mn-lt"/>
            <a:ea typeface="+mn-ea"/>
            <a:cs typeface="+mn-cs"/>
          </a:endParaRPr>
        </a:p>
        <a:p>
          <a:endParaRPr lang="nl-NL" sz="1000" b="1">
            <a:solidFill>
              <a:schemeClr val="accent1">
                <a:lumMod val="75000"/>
              </a:schemeClr>
            </a:solidFill>
            <a:latin typeface="+mn-lt"/>
            <a:ea typeface="+mn-ea"/>
            <a:cs typeface="+mn-cs"/>
          </a:endParaRPr>
        </a:p>
        <a:p>
          <a:pPr marL="0" indent="0"/>
          <a:r>
            <a:rPr lang="nl-NL" sz="1400" b="0" i="0">
              <a:solidFill>
                <a:srgbClr val="0080A3"/>
              </a:solidFill>
              <a:latin typeface="+mn-lt"/>
              <a:ea typeface="+mn-ea"/>
              <a:cs typeface="+mn-cs"/>
            </a:rPr>
            <a:t>Inzicht in de effecten</a:t>
          </a:r>
        </a:p>
        <a:p>
          <a:r>
            <a:rPr lang="nl-NL" sz="1100" b="0" i="0" baseline="0">
              <a:solidFill>
                <a:sysClr val="windowText" lastClr="000000"/>
              </a:solidFill>
              <a:latin typeface="+mn-lt"/>
              <a:ea typeface="+mn-ea"/>
              <a:cs typeface="+mn-cs"/>
            </a:rPr>
            <a:t>Op basis van je ingevulde gegevens zie je hier een overzicht van de uitkomsten voor je salaris en LFB-verlof bij gebruikmaking van het Generatiepact.</a:t>
          </a:r>
        </a:p>
        <a:p>
          <a:r>
            <a:rPr lang="nl-NL" sz="1100" b="0" i="0" baseline="0">
              <a:solidFill>
                <a:sysClr val="windowText" lastClr="000000"/>
              </a:solidFill>
              <a:latin typeface="+mn-lt"/>
              <a:ea typeface="+mn-ea"/>
              <a:cs typeface="+mn-cs"/>
            </a:rPr>
            <a:t>Voor de berekeningen is uitgegaan van de bedragen en percentages zoals de Belastingdienst en het pensioenfonds PFZW die in 2023 hanteren.</a:t>
          </a:r>
        </a:p>
        <a:p>
          <a:endParaRPr lang="nl-NL" sz="1200" b="0" i="0" baseline="0">
            <a:solidFill>
              <a:sysClr val="windowText" lastClr="000000"/>
            </a:solidFill>
            <a:latin typeface="+mn-lt"/>
            <a:ea typeface="+mn-ea"/>
            <a:cs typeface="+mn-cs"/>
          </a:endParaRPr>
        </a:p>
      </xdr:txBody>
    </xdr:sp>
    <xdr:clientData/>
  </xdr:twoCellAnchor>
  <xdr:twoCellAnchor>
    <xdr:from>
      <xdr:col>1</xdr:col>
      <xdr:colOff>4114799</xdr:colOff>
      <xdr:row>73</xdr:row>
      <xdr:rowOff>121920</xdr:rowOff>
    </xdr:from>
    <xdr:to>
      <xdr:col>2</xdr:col>
      <xdr:colOff>1141799</xdr:colOff>
      <xdr:row>76</xdr:row>
      <xdr:rowOff>0</xdr:rowOff>
    </xdr:to>
    <xdr:sp macro="" textlink="">
      <xdr:nvSpPr>
        <xdr:cNvPr id="2" name="Rechthoek: afgeronde hoeken 1">
          <a:hlinkClick xmlns:r="http://schemas.openxmlformats.org/officeDocument/2006/relationships" r:id="rId2" tooltip="Verder"/>
          <a:extLst>
            <a:ext uri="{FF2B5EF4-FFF2-40B4-BE49-F238E27FC236}">
              <a16:creationId xmlns:a16="http://schemas.microsoft.com/office/drawing/2014/main" id="{A38806D4-9299-49FB-A559-921595284F8E}"/>
            </a:ext>
          </a:extLst>
        </xdr:cNvPr>
        <xdr:cNvSpPr/>
      </xdr:nvSpPr>
      <xdr:spPr>
        <a:xfrm>
          <a:off x="4857749" y="13971270"/>
          <a:ext cx="1179900" cy="421005"/>
        </a:xfrm>
        <a:prstGeom prst="roundRect">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VERDER </a:t>
          </a:r>
          <a:r>
            <a:rPr lang="nl-NL" sz="1100" baseline="0"/>
            <a:t> &gt;</a:t>
          </a:r>
          <a:endParaRPr lang="nl-NL" sz="1100"/>
        </a:p>
      </xdr:txBody>
    </xdr:sp>
    <xdr:clientData/>
  </xdr:twoCellAnchor>
  <xdr:twoCellAnchor>
    <xdr:from>
      <xdr:col>1</xdr:col>
      <xdr:colOff>2933700</xdr:colOff>
      <xdr:row>73</xdr:row>
      <xdr:rowOff>121920</xdr:rowOff>
    </xdr:from>
    <xdr:to>
      <xdr:col>1</xdr:col>
      <xdr:colOff>4000500</xdr:colOff>
      <xdr:row>76</xdr:row>
      <xdr:rowOff>0</xdr:rowOff>
    </xdr:to>
    <xdr:sp macro="" textlink="">
      <xdr:nvSpPr>
        <xdr:cNvPr id="3" name="Rechthoek: afgeronde hoeken 2">
          <a:hlinkClick xmlns:r="http://schemas.openxmlformats.org/officeDocument/2006/relationships" r:id="rId3" tooltip="Terug"/>
          <a:extLst>
            <a:ext uri="{FF2B5EF4-FFF2-40B4-BE49-F238E27FC236}">
              <a16:creationId xmlns:a16="http://schemas.microsoft.com/office/drawing/2014/main" id="{40B2CF8F-D151-4426-A886-50BD82196B54}"/>
            </a:ext>
          </a:extLst>
        </xdr:cNvPr>
        <xdr:cNvSpPr/>
      </xdr:nvSpPr>
      <xdr:spPr>
        <a:xfrm>
          <a:off x="3676650" y="13971270"/>
          <a:ext cx="1066800" cy="421005"/>
        </a:xfrm>
        <a:prstGeom prst="roundRect">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twoCellAnchor>
    <xdr:from>
      <xdr:col>1</xdr:col>
      <xdr:colOff>470533</xdr:colOff>
      <xdr:row>53</xdr:row>
      <xdr:rowOff>123825</xdr:rowOff>
    </xdr:from>
    <xdr:to>
      <xdr:col>5</xdr:col>
      <xdr:colOff>432434</xdr:colOff>
      <xdr:row>67</xdr:row>
      <xdr:rowOff>152400</xdr:rowOff>
    </xdr:to>
    <xdr:graphicFrame macro="">
      <xdr:nvGraphicFramePr>
        <xdr:cNvPr id="20" name="Grafiek 3">
          <a:extLst>
            <a:ext uri="{FF2B5EF4-FFF2-40B4-BE49-F238E27FC236}">
              <a16:creationId xmlns:a16="http://schemas.microsoft.com/office/drawing/2014/main" id="{FBECD0CF-B9C4-A82F-6A8D-82C206DE78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512366</xdr:colOff>
      <xdr:row>10</xdr:row>
      <xdr:rowOff>167650</xdr:rowOff>
    </xdr:from>
    <xdr:to>
      <xdr:col>1</xdr:col>
      <xdr:colOff>3069076</xdr:colOff>
      <xdr:row>23</xdr:row>
      <xdr:rowOff>38415</xdr:rowOff>
    </xdr:to>
    <xdr:sp macro="" textlink="">
      <xdr:nvSpPr>
        <xdr:cNvPr id="7" name="Shape 63">
          <a:extLst>
            <a:ext uri="{FF2B5EF4-FFF2-40B4-BE49-F238E27FC236}">
              <a16:creationId xmlns:a16="http://schemas.microsoft.com/office/drawing/2014/main" id="{DDF661D6-2BFB-EE9D-2220-6F5B8218196F}"/>
            </a:ext>
          </a:extLst>
        </xdr:cNvPr>
        <xdr:cNvSpPr>
          <a:spLocks noChangeAspect="1"/>
        </xdr:cNvSpPr>
      </xdr:nvSpPr>
      <xdr:spPr>
        <a:xfrm rot="18802777">
          <a:off x="1416713" y="1801716"/>
          <a:ext cx="2231060" cy="2567187"/>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FFCC00"/>
        </a:solidFill>
        <a:ln w="0" cap="flat">
          <a:miter lim="127000"/>
        </a:ln>
      </xdr:spPr>
      <xdr:style>
        <a:lnRef idx="0">
          <a:srgbClr val="000000">
            <a:alpha val="0"/>
          </a:srgbClr>
        </a:lnRef>
        <a:fillRef idx="1">
          <a:srgbClr val="B35A16"/>
        </a:fillRef>
        <a:effectRef idx="0">
          <a:scrgbClr r="0" g="0" b="0"/>
        </a:effectRef>
        <a:fontRef idx="none"/>
      </xdr:style>
      <xdr:txBody>
        <a:bodyPr wrap="square"/>
        <a:lstStyle/>
        <a:p>
          <a:endParaRPr lang="nl-NL">
            <a:solidFill>
              <a:schemeClr val="tx1"/>
            </a:solidFill>
          </a:endParaRPr>
        </a:p>
      </xdr:txBody>
    </xdr:sp>
    <xdr:clientData/>
  </xdr:twoCellAnchor>
  <xdr:twoCellAnchor editAs="absolute">
    <xdr:from>
      <xdr:col>1</xdr:col>
      <xdr:colOff>592726</xdr:colOff>
      <xdr:row>13</xdr:row>
      <xdr:rowOff>18020</xdr:rowOff>
    </xdr:from>
    <xdr:to>
      <xdr:col>1</xdr:col>
      <xdr:colOff>3389767</xdr:colOff>
      <xdr:row>21</xdr:row>
      <xdr:rowOff>36087</xdr:rowOff>
    </xdr:to>
    <xdr:sp macro="" textlink="">
      <xdr:nvSpPr>
        <xdr:cNvPr id="8" name="Tekstvak 7">
          <a:extLst>
            <a:ext uri="{FF2B5EF4-FFF2-40B4-BE49-F238E27FC236}">
              <a16:creationId xmlns:a16="http://schemas.microsoft.com/office/drawing/2014/main" id="{8E3F773E-187C-01F3-E8B9-6798F3E7A22C}"/>
            </a:ext>
          </a:extLst>
        </xdr:cNvPr>
        <xdr:cNvSpPr txBox="1"/>
      </xdr:nvSpPr>
      <xdr:spPr>
        <a:xfrm>
          <a:off x="1339486" y="2375458"/>
          <a:ext cx="2793231" cy="14611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2400" b="0">
              <a:solidFill>
                <a:schemeClr val="tx1"/>
              </a:solidFill>
              <a:effectLst/>
              <a:latin typeface="+mn-lt"/>
              <a:ea typeface="+mn-ea"/>
              <a:cs typeface="+mn-cs"/>
            </a:rPr>
            <a:t>Gevolgen</a:t>
          </a:r>
          <a:r>
            <a:rPr lang="nl-NL" sz="2400" b="0" baseline="0">
              <a:solidFill>
                <a:schemeClr val="tx1"/>
              </a:solidFill>
              <a:effectLst/>
              <a:latin typeface="+mn-lt"/>
              <a:ea typeface="+mn-ea"/>
              <a:cs typeface="+mn-cs"/>
            </a:rPr>
            <a:t> van deelname aan</a:t>
          </a:r>
          <a:r>
            <a:rPr lang="nl-NL" sz="2400" b="0">
              <a:solidFill>
                <a:schemeClr val="tx1"/>
              </a:solidFill>
              <a:effectLst/>
              <a:latin typeface="+mn-lt"/>
              <a:ea typeface="+mn-ea"/>
              <a:cs typeface="+mn-cs"/>
            </a:rPr>
            <a:t> het Generatiepact</a:t>
          </a:r>
          <a:endParaRPr lang="nl-NL" sz="2400" b="0">
            <a:solidFill>
              <a:schemeClr val="tx1"/>
            </a:solidFill>
            <a:effectLst/>
          </a:endParaRPr>
        </a:p>
        <a:p>
          <a:endParaRPr lang="nl-NL" sz="2400" b="0">
            <a:solidFill>
              <a:schemeClr val="tx1"/>
            </a:solidFill>
          </a:endParaRPr>
        </a:p>
      </xdr:txBody>
    </xdr:sp>
    <xdr:clientData/>
  </xdr:twoCellAnchor>
  <xdr:twoCellAnchor editAs="oneCell">
    <xdr:from>
      <xdr:col>1</xdr:col>
      <xdr:colOff>1096349</xdr:colOff>
      <xdr:row>3</xdr:row>
      <xdr:rowOff>155574</xdr:rowOff>
    </xdr:from>
    <xdr:to>
      <xdr:col>1</xdr:col>
      <xdr:colOff>1507512</xdr:colOff>
      <xdr:row>6</xdr:row>
      <xdr:rowOff>21272</xdr:rowOff>
    </xdr:to>
    <xdr:pic>
      <xdr:nvPicPr>
        <xdr:cNvPr id="11" name="Graphic 10" descr="Pictogram hamburgermenu met effen opvulling">
          <a:hlinkClick xmlns:r="http://schemas.openxmlformats.org/officeDocument/2006/relationships" r:id="rId5" tooltip="Menu"/>
          <a:extLst>
            <a:ext uri="{FF2B5EF4-FFF2-40B4-BE49-F238E27FC236}">
              <a16:creationId xmlns:a16="http://schemas.microsoft.com/office/drawing/2014/main" id="{09688F7B-093F-459F-B656-CAB7962DE1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839299" y="698499"/>
          <a:ext cx="418783" cy="412433"/>
        </a:xfrm>
        <a:prstGeom prst="rect">
          <a:avLst/>
        </a:prstGeom>
      </xdr:spPr>
    </xdr:pic>
    <xdr:clientData/>
  </xdr:twoCellAnchor>
  <xdr:twoCellAnchor editAs="absolute">
    <xdr:from>
      <xdr:col>1</xdr:col>
      <xdr:colOff>549592</xdr:colOff>
      <xdr:row>3</xdr:row>
      <xdr:rowOff>129540</xdr:rowOff>
    </xdr:from>
    <xdr:to>
      <xdr:col>1</xdr:col>
      <xdr:colOff>930675</xdr:colOff>
      <xdr:row>6</xdr:row>
      <xdr:rowOff>53647</xdr:rowOff>
    </xdr:to>
    <xdr:pic>
      <xdr:nvPicPr>
        <xdr:cNvPr id="12" name="Graphic 10" descr="Introductiepagina met effen opvulling">
          <a:hlinkClick xmlns:r="http://schemas.openxmlformats.org/officeDocument/2006/relationships" r:id="rId8" tooltip="Home"/>
          <a:extLst>
            <a:ext uri="{FF2B5EF4-FFF2-40B4-BE49-F238E27FC236}">
              <a16:creationId xmlns:a16="http://schemas.microsoft.com/office/drawing/2014/main" id="{FD14EC5A-B489-41FD-8B20-3970D76F4D81}"/>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85875" y="676275"/>
          <a:ext cx="383940" cy="450840"/>
        </a:xfrm>
        <a:prstGeom prst="rect">
          <a:avLst/>
        </a:prstGeom>
      </xdr:spPr>
    </xdr:pic>
    <xdr:clientData/>
  </xdr:twoCellAnchor>
  <xdr:twoCellAnchor>
    <xdr:from>
      <xdr:col>0</xdr:col>
      <xdr:colOff>0</xdr:colOff>
      <xdr:row>70</xdr:row>
      <xdr:rowOff>1</xdr:rowOff>
    </xdr:from>
    <xdr:to>
      <xdr:col>1</xdr:col>
      <xdr:colOff>66040</xdr:colOff>
      <xdr:row>80</xdr:row>
      <xdr:rowOff>55566</xdr:rowOff>
    </xdr:to>
    <xdr:sp macro="" textlink="">
      <xdr:nvSpPr>
        <xdr:cNvPr id="13" name="Gelijkbenige driehoek 12">
          <a:extLst>
            <a:ext uri="{FF2B5EF4-FFF2-40B4-BE49-F238E27FC236}">
              <a16:creationId xmlns:a16="http://schemas.microsoft.com/office/drawing/2014/main" id="{DE297A85-956D-4FBD-A4B5-9374DAB8EA73}"/>
            </a:ext>
          </a:extLst>
        </xdr:cNvPr>
        <xdr:cNvSpPr/>
      </xdr:nvSpPr>
      <xdr:spPr>
        <a:xfrm rot="5400000">
          <a:off x="-528163" y="12672539"/>
          <a:ext cx="1865315" cy="808990"/>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5</xdr:col>
      <xdr:colOff>853612</xdr:colOff>
      <xdr:row>72</xdr:row>
      <xdr:rowOff>67195</xdr:rowOff>
    </xdr:from>
    <xdr:ext cx="1068717" cy="1285513"/>
    <xdr:pic>
      <xdr:nvPicPr>
        <xdr:cNvPr id="14" name="Afbeelding 13">
          <a:hlinkClick xmlns:r="http://schemas.openxmlformats.org/officeDocument/2006/relationships" r:id="rId11" tooltip="https://www.oofggz.nl/goedwerkenindeggz/"/>
          <a:extLst>
            <a:ext uri="{FF2B5EF4-FFF2-40B4-BE49-F238E27FC236}">
              <a16:creationId xmlns:a16="http://schemas.microsoft.com/office/drawing/2014/main" id="{0D315689-7361-4754-82A3-3501E0A33D5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49912" y="12573520"/>
          <a:ext cx="1068717" cy="1285513"/>
        </a:xfrm>
        <a:prstGeom prst="rect">
          <a:avLst/>
        </a:prstGeom>
      </xdr:spPr>
    </xdr:pic>
    <xdr:clientData/>
  </xdr:oneCellAnchor>
  <xdr:twoCellAnchor>
    <xdr:from>
      <xdr:col>0</xdr:col>
      <xdr:colOff>0</xdr:colOff>
      <xdr:row>70</xdr:row>
      <xdr:rowOff>28576</xdr:rowOff>
    </xdr:from>
    <xdr:to>
      <xdr:col>1</xdr:col>
      <xdr:colOff>64135</xdr:colOff>
      <xdr:row>80</xdr:row>
      <xdr:rowOff>87951</xdr:rowOff>
    </xdr:to>
    <xdr:sp macro="" textlink="">
      <xdr:nvSpPr>
        <xdr:cNvPr id="15" name="Gelijkbenige driehoek 14">
          <a:extLst>
            <a:ext uri="{FF2B5EF4-FFF2-40B4-BE49-F238E27FC236}">
              <a16:creationId xmlns:a16="http://schemas.microsoft.com/office/drawing/2014/main" id="{20E431A9-92DC-ADD8-6577-86BBD186C98F}"/>
            </a:ext>
          </a:extLst>
        </xdr:cNvPr>
        <xdr:cNvSpPr/>
      </xdr:nvSpPr>
      <xdr:spPr>
        <a:xfrm rot="5400000">
          <a:off x="-531020" y="12703971"/>
          <a:ext cx="1869125" cy="807085"/>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5</xdr:col>
      <xdr:colOff>857422</xdr:colOff>
      <xdr:row>72</xdr:row>
      <xdr:rowOff>93865</xdr:rowOff>
    </xdr:from>
    <xdr:ext cx="1068717" cy="1285513"/>
    <xdr:pic>
      <xdr:nvPicPr>
        <xdr:cNvPr id="16" name="Afbeelding 15">
          <a:hlinkClick xmlns:r="http://schemas.openxmlformats.org/officeDocument/2006/relationships" r:id="rId11" tooltip="https://www.oofggz.nl/goedwerkenindeggz/"/>
          <a:extLst>
            <a:ext uri="{FF2B5EF4-FFF2-40B4-BE49-F238E27FC236}">
              <a16:creationId xmlns:a16="http://schemas.microsoft.com/office/drawing/2014/main" id="{9394D46B-354F-68AD-C935-420089CFA24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53722" y="12600190"/>
          <a:ext cx="1068717" cy="12855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20956</xdr:colOff>
      <xdr:row>4</xdr:row>
      <xdr:rowOff>22519</xdr:rowOff>
    </xdr:from>
    <xdr:to>
      <xdr:col>23</xdr:col>
      <xdr:colOff>511482</xdr:colOff>
      <xdr:row>38</xdr:row>
      <xdr:rowOff>114849</xdr:rowOff>
    </xdr:to>
    <xdr:grpSp>
      <xdr:nvGrpSpPr>
        <xdr:cNvPr id="74" name="Groep 1" descr="Infographic-grafiek met mijlpaalbeschrijvingen grenzend aan mijlpaaldatums in druppelvormen. Een ronde lijn met een pijl die naar rechts wijst, illustreert de richting van de tijdlijn. Het huidige jaar voor de mijlpalen volgt het pad.">
          <a:extLst>
            <a:ext uri="{FF2B5EF4-FFF2-40B4-BE49-F238E27FC236}">
              <a16:creationId xmlns:a16="http://schemas.microsoft.com/office/drawing/2014/main" id="{04537E82-21D3-4205-A411-09C03AC11F92}"/>
            </a:ext>
          </a:extLst>
        </xdr:cNvPr>
        <xdr:cNvGrpSpPr/>
      </xdr:nvGrpSpPr>
      <xdr:grpSpPr>
        <a:xfrm>
          <a:off x="668656" y="746419"/>
          <a:ext cx="14949476" cy="6245480"/>
          <a:chOff x="349898" y="155378"/>
          <a:chExt cx="13913471" cy="6551000"/>
        </a:xfrm>
      </xdr:grpSpPr>
      <xdr:grpSp>
        <xdr:nvGrpSpPr>
          <xdr:cNvPr id="75" name="Groep 2" descr="Infographic-grafiek met mijlpaalbeschrijvingen grenzend aan mijlpaaldatums in druppelvormen. Een ronde lijn met een pijl die naar rechts wijst, illustreert de richting van de tijdlijn. Het huidige jaar voor de mijlpalen volgt het pad.">
            <a:extLst>
              <a:ext uri="{FF2B5EF4-FFF2-40B4-BE49-F238E27FC236}">
                <a16:creationId xmlns:a16="http://schemas.microsoft.com/office/drawing/2014/main" id="{387F133B-C886-D41D-B267-6B8DE8BBFD87}"/>
              </a:ext>
            </a:extLst>
          </xdr:cNvPr>
          <xdr:cNvGrpSpPr/>
        </xdr:nvGrpSpPr>
        <xdr:grpSpPr>
          <a:xfrm>
            <a:off x="349898" y="155378"/>
            <a:ext cx="13913471" cy="6551000"/>
            <a:chOff x="349898" y="155378"/>
            <a:chExt cx="13913471" cy="6551000"/>
          </a:xfrm>
        </xdr:grpSpPr>
        <xdr:grpSp>
          <xdr:nvGrpSpPr>
            <xdr:cNvPr id="76" name="Groep 9" descr="Infographic-grafiek met mijlpaalbeschrijvingen grenzend aan mijlpaaldatums in druppelvormen. Een ronde lijn met een pijl die naar rechts wijst, illustreert de richting van de tijdlijn. Het huidige jaar voor de mijlpalen volgt het pad.">
              <a:extLst>
                <a:ext uri="{FF2B5EF4-FFF2-40B4-BE49-F238E27FC236}">
                  <a16:creationId xmlns:a16="http://schemas.microsoft.com/office/drawing/2014/main" id="{A33D1E72-863D-159E-5B60-29A1705F10CB}"/>
                </a:ext>
              </a:extLst>
            </xdr:cNvPr>
            <xdr:cNvGrpSpPr/>
          </xdr:nvGrpSpPr>
          <xdr:grpSpPr>
            <a:xfrm>
              <a:off x="349898" y="155378"/>
              <a:ext cx="13913471" cy="6551000"/>
              <a:chOff x="349898" y="155378"/>
              <a:chExt cx="13913471" cy="6551000"/>
            </a:xfrm>
          </xdr:grpSpPr>
          <xdr:grpSp>
            <xdr:nvGrpSpPr>
              <xdr:cNvPr id="77" name="Groep 14" descr="Roadmap-shape met pijlpunt die stroom van links naar rechts en van boven naar beneden weergeeft, met de pijl rechtsonder">
                <a:extLst>
                  <a:ext uri="{FF2B5EF4-FFF2-40B4-BE49-F238E27FC236}">
                    <a16:creationId xmlns:a16="http://schemas.microsoft.com/office/drawing/2014/main" id="{B6CDAEB4-BF52-6127-1C75-F9C13A2F3552}"/>
                  </a:ext>
                </a:extLst>
              </xdr:cNvPr>
              <xdr:cNvGrpSpPr/>
            </xdr:nvGrpSpPr>
            <xdr:grpSpPr>
              <a:xfrm>
                <a:off x="349898" y="349898"/>
                <a:ext cx="9602752" cy="6356480"/>
                <a:chOff x="349898" y="349898"/>
                <a:chExt cx="9602752" cy="6356480"/>
              </a:xfrm>
            </xdr:grpSpPr>
            <xdr:sp macro="" textlink="">
              <xdr:nvSpPr>
                <xdr:cNvPr id="78" name="Rechthoek 12" descr="Kromme lijn">
                  <a:extLst>
                    <a:ext uri="{FF2B5EF4-FFF2-40B4-BE49-F238E27FC236}">
                      <a16:creationId xmlns:a16="http://schemas.microsoft.com/office/drawing/2014/main" id="{94389BA7-F231-E1FA-E64E-CD7BC409A69B}"/>
                    </a:ext>
                  </a:extLst>
                </xdr:cNvPr>
                <xdr:cNvSpPr/>
              </xdr:nvSpPr>
              <xdr:spPr>
                <a:xfrm>
                  <a:off x="349898" y="349898"/>
                  <a:ext cx="8178985" cy="6356480"/>
                </a:xfrm>
                <a:custGeom>
                  <a:avLst/>
                  <a:gdLst>
                    <a:gd name="connsiteX0" fmla="*/ 0 w 685800"/>
                    <a:gd name="connsiteY0" fmla="*/ 0 h 3781425"/>
                    <a:gd name="connsiteX1" fmla="*/ 685800 w 685800"/>
                    <a:gd name="connsiteY1" fmla="*/ 0 h 3781425"/>
                    <a:gd name="connsiteX2" fmla="*/ 685800 w 685800"/>
                    <a:gd name="connsiteY2" fmla="*/ 3781425 h 3781425"/>
                    <a:gd name="connsiteX3" fmla="*/ 0 w 685800"/>
                    <a:gd name="connsiteY3" fmla="*/ 3781425 h 3781425"/>
                    <a:gd name="connsiteX4" fmla="*/ 0 w 685800"/>
                    <a:gd name="connsiteY4" fmla="*/ 0 h 3781425"/>
                    <a:gd name="connsiteX0" fmla="*/ 0 w 705125"/>
                    <a:gd name="connsiteY0" fmla="*/ 0 h 3781425"/>
                    <a:gd name="connsiteX1" fmla="*/ 685800 w 705125"/>
                    <a:gd name="connsiteY1" fmla="*/ 0 h 3781425"/>
                    <a:gd name="connsiteX2" fmla="*/ 704850 w 705125"/>
                    <a:gd name="connsiteY2" fmla="*/ 809625 h 3781425"/>
                    <a:gd name="connsiteX3" fmla="*/ 685800 w 705125"/>
                    <a:gd name="connsiteY3" fmla="*/ 3781425 h 3781425"/>
                    <a:gd name="connsiteX4" fmla="*/ 0 w 705125"/>
                    <a:gd name="connsiteY4" fmla="*/ 3781425 h 3781425"/>
                    <a:gd name="connsiteX5" fmla="*/ 0 w 705125"/>
                    <a:gd name="connsiteY5" fmla="*/ 0 h 3781425"/>
                    <a:gd name="connsiteX0" fmla="*/ 104775 w 809900"/>
                    <a:gd name="connsiteY0" fmla="*/ 0 h 3781425"/>
                    <a:gd name="connsiteX1" fmla="*/ 790575 w 809900"/>
                    <a:gd name="connsiteY1" fmla="*/ 0 h 3781425"/>
                    <a:gd name="connsiteX2" fmla="*/ 809625 w 809900"/>
                    <a:gd name="connsiteY2" fmla="*/ 809625 h 3781425"/>
                    <a:gd name="connsiteX3" fmla="*/ 790575 w 809900"/>
                    <a:gd name="connsiteY3" fmla="*/ 3781425 h 3781425"/>
                    <a:gd name="connsiteX4" fmla="*/ 104775 w 809900"/>
                    <a:gd name="connsiteY4" fmla="*/ 3781425 h 3781425"/>
                    <a:gd name="connsiteX5" fmla="*/ 0 w 809900"/>
                    <a:gd name="connsiteY5" fmla="*/ 809625 h 3781425"/>
                    <a:gd name="connsiteX6" fmla="*/ 104775 w 809900"/>
                    <a:gd name="connsiteY6" fmla="*/ 0 h 3781425"/>
                    <a:gd name="connsiteX0" fmla="*/ 104775 w 866775"/>
                    <a:gd name="connsiteY0" fmla="*/ 0 h 3781425"/>
                    <a:gd name="connsiteX1" fmla="*/ 790575 w 866775"/>
                    <a:gd name="connsiteY1" fmla="*/ 0 h 3781425"/>
                    <a:gd name="connsiteX2" fmla="*/ 809625 w 866775"/>
                    <a:gd name="connsiteY2" fmla="*/ 809625 h 3781425"/>
                    <a:gd name="connsiteX3" fmla="*/ 866775 w 866775"/>
                    <a:gd name="connsiteY3" fmla="*/ 2171700 h 3781425"/>
                    <a:gd name="connsiteX4" fmla="*/ 790575 w 866775"/>
                    <a:gd name="connsiteY4" fmla="*/ 3781425 h 3781425"/>
                    <a:gd name="connsiteX5" fmla="*/ 104775 w 866775"/>
                    <a:gd name="connsiteY5" fmla="*/ 3781425 h 3781425"/>
                    <a:gd name="connsiteX6" fmla="*/ 0 w 866775"/>
                    <a:gd name="connsiteY6" fmla="*/ 809625 h 3781425"/>
                    <a:gd name="connsiteX7" fmla="*/ 104775 w 866775"/>
                    <a:gd name="connsiteY7" fmla="*/ 0 h 3781425"/>
                    <a:gd name="connsiteX0" fmla="*/ 107604 w 869604"/>
                    <a:gd name="connsiteY0" fmla="*/ 0 h 3781425"/>
                    <a:gd name="connsiteX1" fmla="*/ 793404 w 869604"/>
                    <a:gd name="connsiteY1" fmla="*/ 0 h 3781425"/>
                    <a:gd name="connsiteX2" fmla="*/ 812454 w 869604"/>
                    <a:gd name="connsiteY2" fmla="*/ 809625 h 3781425"/>
                    <a:gd name="connsiteX3" fmla="*/ 869604 w 869604"/>
                    <a:gd name="connsiteY3" fmla="*/ 2171700 h 3781425"/>
                    <a:gd name="connsiteX4" fmla="*/ 793404 w 869604"/>
                    <a:gd name="connsiteY4" fmla="*/ 3781425 h 3781425"/>
                    <a:gd name="connsiteX5" fmla="*/ 107604 w 869604"/>
                    <a:gd name="connsiteY5" fmla="*/ 3781425 h 3781425"/>
                    <a:gd name="connsiteX6" fmla="*/ 21879 w 869604"/>
                    <a:gd name="connsiteY6" fmla="*/ 2219325 h 3781425"/>
                    <a:gd name="connsiteX7" fmla="*/ 2829 w 869604"/>
                    <a:gd name="connsiteY7" fmla="*/ 809625 h 3781425"/>
                    <a:gd name="connsiteX8" fmla="*/ 107604 w 869604"/>
                    <a:gd name="connsiteY8" fmla="*/ 0 h 3781425"/>
                    <a:gd name="connsiteX0" fmla="*/ 107604 w 2222159"/>
                    <a:gd name="connsiteY0" fmla="*/ 0 h 3781425"/>
                    <a:gd name="connsiteX1" fmla="*/ 793404 w 2222159"/>
                    <a:gd name="connsiteY1" fmla="*/ 0 h 3781425"/>
                    <a:gd name="connsiteX2" fmla="*/ 2222154 w 2222159"/>
                    <a:gd name="connsiteY2" fmla="*/ 1009650 h 3781425"/>
                    <a:gd name="connsiteX3" fmla="*/ 869604 w 2222159"/>
                    <a:gd name="connsiteY3" fmla="*/ 2171700 h 3781425"/>
                    <a:gd name="connsiteX4" fmla="*/ 793404 w 2222159"/>
                    <a:gd name="connsiteY4" fmla="*/ 3781425 h 3781425"/>
                    <a:gd name="connsiteX5" fmla="*/ 107604 w 2222159"/>
                    <a:gd name="connsiteY5" fmla="*/ 3781425 h 3781425"/>
                    <a:gd name="connsiteX6" fmla="*/ 21879 w 2222159"/>
                    <a:gd name="connsiteY6" fmla="*/ 2219325 h 3781425"/>
                    <a:gd name="connsiteX7" fmla="*/ 2829 w 2222159"/>
                    <a:gd name="connsiteY7" fmla="*/ 809625 h 3781425"/>
                    <a:gd name="connsiteX8" fmla="*/ 107604 w 2222159"/>
                    <a:gd name="connsiteY8" fmla="*/ 0 h 3781425"/>
                    <a:gd name="connsiteX0" fmla="*/ 85837 w 2200392"/>
                    <a:gd name="connsiteY0" fmla="*/ 0 h 3781425"/>
                    <a:gd name="connsiteX1" fmla="*/ 771637 w 2200392"/>
                    <a:gd name="connsiteY1" fmla="*/ 0 h 3781425"/>
                    <a:gd name="connsiteX2" fmla="*/ 2200387 w 2200392"/>
                    <a:gd name="connsiteY2" fmla="*/ 1009650 h 3781425"/>
                    <a:gd name="connsiteX3" fmla="*/ 847837 w 2200392"/>
                    <a:gd name="connsiteY3" fmla="*/ 2171700 h 3781425"/>
                    <a:gd name="connsiteX4" fmla="*/ 771637 w 2200392"/>
                    <a:gd name="connsiteY4" fmla="*/ 3781425 h 3781425"/>
                    <a:gd name="connsiteX5" fmla="*/ 85837 w 2200392"/>
                    <a:gd name="connsiteY5" fmla="*/ 3781425 h 3781425"/>
                    <a:gd name="connsiteX6" fmla="*/ 112 w 2200392"/>
                    <a:gd name="connsiteY6" fmla="*/ 2219325 h 3781425"/>
                    <a:gd name="connsiteX7" fmla="*/ 2038462 w 2200392"/>
                    <a:gd name="connsiteY7" fmla="*/ 1000125 h 3781425"/>
                    <a:gd name="connsiteX8" fmla="*/ 85837 w 2200392"/>
                    <a:gd name="connsiteY8" fmla="*/ 0 h 3781425"/>
                    <a:gd name="connsiteX0" fmla="*/ 266812 w 2200392"/>
                    <a:gd name="connsiteY0" fmla="*/ 800100 h 3781425"/>
                    <a:gd name="connsiteX1" fmla="*/ 771637 w 2200392"/>
                    <a:gd name="connsiteY1" fmla="*/ 0 h 3781425"/>
                    <a:gd name="connsiteX2" fmla="*/ 2200387 w 2200392"/>
                    <a:gd name="connsiteY2" fmla="*/ 1009650 h 3781425"/>
                    <a:gd name="connsiteX3" fmla="*/ 847837 w 2200392"/>
                    <a:gd name="connsiteY3" fmla="*/ 2171700 h 3781425"/>
                    <a:gd name="connsiteX4" fmla="*/ 771637 w 2200392"/>
                    <a:gd name="connsiteY4" fmla="*/ 3781425 h 3781425"/>
                    <a:gd name="connsiteX5" fmla="*/ 85837 w 2200392"/>
                    <a:gd name="connsiteY5" fmla="*/ 3781425 h 3781425"/>
                    <a:gd name="connsiteX6" fmla="*/ 112 w 2200392"/>
                    <a:gd name="connsiteY6" fmla="*/ 2219325 h 3781425"/>
                    <a:gd name="connsiteX7" fmla="*/ 2038462 w 2200392"/>
                    <a:gd name="connsiteY7" fmla="*/ 1000125 h 3781425"/>
                    <a:gd name="connsiteX8" fmla="*/ 266812 w 2200392"/>
                    <a:gd name="connsiteY8" fmla="*/ 800100 h 3781425"/>
                    <a:gd name="connsiteX0" fmla="*/ 266812 w 2200392"/>
                    <a:gd name="connsiteY0" fmla="*/ 657225 h 3638550"/>
                    <a:gd name="connsiteX1" fmla="*/ 704962 w 2200392"/>
                    <a:gd name="connsiteY1" fmla="*/ 0 h 3638550"/>
                    <a:gd name="connsiteX2" fmla="*/ 2200387 w 2200392"/>
                    <a:gd name="connsiteY2" fmla="*/ 866775 h 3638550"/>
                    <a:gd name="connsiteX3" fmla="*/ 847837 w 2200392"/>
                    <a:gd name="connsiteY3" fmla="*/ 2028825 h 3638550"/>
                    <a:gd name="connsiteX4" fmla="*/ 771637 w 2200392"/>
                    <a:gd name="connsiteY4" fmla="*/ 3638550 h 3638550"/>
                    <a:gd name="connsiteX5" fmla="*/ 85837 w 2200392"/>
                    <a:gd name="connsiteY5" fmla="*/ 3638550 h 3638550"/>
                    <a:gd name="connsiteX6" fmla="*/ 112 w 2200392"/>
                    <a:gd name="connsiteY6" fmla="*/ 2076450 h 3638550"/>
                    <a:gd name="connsiteX7" fmla="*/ 2038462 w 2200392"/>
                    <a:gd name="connsiteY7" fmla="*/ 857250 h 3638550"/>
                    <a:gd name="connsiteX8" fmla="*/ 266812 w 2200392"/>
                    <a:gd name="connsiteY8" fmla="*/ 657225 h 3638550"/>
                    <a:gd name="connsiteX0" fmla="*/ 266812 w 2200392"/>
                    <a:gd name="connsiteY0" fmla="*/ 590550 h 3571875"/>
                    <a:gd name="connsiteX1" fmla="*/ 704962 w 2200392"/>
                    <a:gd name="connsiteY1" fmla="*/ 0 h 3571875"/>
                    <a:gd name="connsiteX2" fmla="*/ 2200387 w 2200392"/>
                    <a:gd name="connsiteY2" fmla="*/ 800100 h 3571875"/>
                    <a:gd name="connsiteX3" fmla="*/ 847837 w 2200392"/>
                    <a:gd name="connsiteY3" fmla="*/ 1962150 h 3571875"/>
                    <a:gd name="connsiteX4" fmla="*/ 771637 w 2200392"/>
                    <a:gd name="connsiteY4" fmla="*/ 3571875 h 3571875"/>
                    <a:gd name="connsiteX5" fmla="*/ 85837 w 2200392"/>
                    <a:gd name="connsiteY5" fmla="*/ 3571875 h 3571875"/>
                    <a:gd name="connsiteX6" fmla="*/ 112 w 2200392"/>
                    <a:gd name="connsiteY6" fmla="*/ 2009775 h 3571875"/>
                    <a:gd name="connsiteX7" fmla="*/ 2038462 w 2200392"/>
                    <a:gd name="connsiteY7" fmla="*/ 790575 h 3571875"/>
                    <a:gd name="connsiteX8" fmla="*/ 266812 w 2200392"/>
                    <a:gd name="connsiteY8" fmla="*/ 590550 h 3571875"/>
                    <a:gd name="connsiteX0" fmla="*/ 266812 w 2200393"/>
                    <a:gd name="connsiteY0" fmla="*/ 590550 h 3571875"/>
                    <a:gd name="connsiteX1" fmla="*/ 704962 w 2200393"/>
                    <a:gd name="connsiteY1" fmla="*/ 0 h 3571875"/>
                    <a:gd name="connsiteX2" fmla="*/ 2200387 w 2200393"/>
                    <a:gd name="connsiteY2" fmla="*/ 800100 h 3571875"/>
                    <a:gd name="connsiteX3" fmla="*/ 847837 w 2200393"/>
                    <a:gd name="connsiteY3" fmla="*/ 1962150 h 3571875"/>
                    <a:gd name="connsiteX4" fmla="*/ 771637 w 2200393"/>
                    <a:gd name="connsiteY4" fmla="*/ 3571875 h 3571875"/>
                    <a:gd name="connsiteX5" fmla="*/ 85837 w 2200393"/>
                    <a:gd name="connsiteY5" fmla="*/ 3571875 h 3571875"/>
                    <a:gd name="connsiteX6" fmla="*/ 112 w 2200393"/>
                    <a:gd name="connsiteY6" fmla="*/ 2009775 h 3571875"/>
                    <a:gd name="connsiteX7" fmla="*/ 2038462 w 2200393"/>
                    <a:gd name="connsiteY7" fmla="*/ 790575 h 3571875"/>
                    <a:gd name="connsiteX8" fmla="*/ 266812 w 2200393"/>
                    <a:gd name="connsiteY8" fmla="*/ 590550 h 3571875"/>
                    <a:gd name="connsiteX0" fmla="*/ 266812 w 2200392"/>
                    <a:gd name="connsiteY0" fmla="*/ 123825 h 3105150"/>
                    <a:gd name="connsiteX1" fmla="*/ 390637 w 2200392"/>
                    <a:gd name="connsiteY1" fmla="*/ 0 h 3105150"/>
                    <a:gd name="connsiteX2" fmla="*/ 2200387 w 2200392"/>
                    <a:gd name="connsiteY2" fmla="*/ 333375 h 3105150"/>
                    <a:gd name="connsiteX3" fmla="*/ 847837 w 2200392"/>
                    <a:gd name="connsiteY3" fmla="*/ 1495425 h 3105150"/>
                    <a:gd name="connsiteX4" fmla="*/ 771637 w 2200392"/>
                    <a:gd name="connsiteY4" fmla="*/ 3105150 h 3105150"/>
                    <a:gd name="connsiteX5" fmla="*/ 85837 w 2200392"/>
                    <a:gd name="connsiteY5" fmla="*/ 3105150 h 3105150"/>
                    <a:gd name="connsiteX6" fmla="*/ 112 w 2200392"/>
                    <a:gd name="connsiteY6" fmla="*/ 1543050 h 3105150"/>
                    <a:gd name="connsiteX7" fmla="*/ 2038462 w 2200392"/>
                    <a:gd name="connsiteY7" fmla="*/ 323850 h 3105150"/>
                    <a:gd name="connsiteX8" fmla="*/ 266812 w 2200392"/>
                    <a:gd name="connsiteY8" fmla="*/ 123825 h 3105150"/>
                    <a:gd name="connsiteX0" fmla="*/ 266812 w 2200392"/>
                    <a:gd name="connsiteY0" fmla="*/ 123825 h 3105150"/>
                    <a:gd name="connsiteX1" fmla="*/ 238237 w 2200392"/>
                    <a:gd name="connsiteY1" fmla="*/ 0 h 3105150"/>
                    <a:gd name="connsiteX2" fmla="*/ 2200387 w 2200392"/>
                    <a:gd name="connsiteY2" fmla="*/ 333375 h 3105150"/>
                    <a:gd name="connsiteX3" fmla="*/ 847837 w 2200392"/>
                    <a:gd name="connsiteY3" fmla="*/ 1495425 h 3105150"/>
                    <a:gd name="connsiteX4" fmla="*/ 771637 w 2200392"/>
                    <a:gd name="connsiteY4" fmla="*/ 3105150 h 3105150"/>
                    <a:gd name="connsiteX5" fmla="*/ 85837 w 2200392"/>
                    <a:gd name="connsiteY5" fmla="*/ 3105150 h 3105150"/>
                    <a:gd name="connsiteX6" fmla="*/ 112 w 2200392"/>
                    <a:gd name="connsiteY6" fmla="*/ 1543050 h 3105150"/>
                    <a:gd name="connsiteX7" fmla="*/ 2038462 w 2200392"/>
                    <a:gd name="connsiteY7" fmla="*/ 323850 h 3105150"/>
                    <a:gd name="connsiteX8" fmla="*/ 266812 w 2200392"/>
                    <a:gd name="connsiteY8" fmla="*/ 123825 h 3105150"/>
                    <a:gd name="connsiteX0" fmla="*/ 266812 w 2200392"/>
                    <a:gd name="connsiteY0" fmla="*/ 133350 h 3114675"/>
                    <a:gd name="connsiteX1" fmla="*/ 266812 w 2200392"/>
                    <a:gd name="connsiteY1" fmla="*/ 0 h 3114675"/>
                    <a:gd name="connsiteX2" fmla="*/ 2200387 w 2200392"/>
                    <a:gd name="connsiteY2" fmla="*/ 342900 h 3114675"/>
                    <a:gd name="connsiteX3" fmla="*/ 847837 w 2200392"/>
                    <a:gd name="connsiteY3" fmla="*/ 1504950 h 3114675"/>
                    <a:gd name="connsiteX4" fmla="*/ 771637 w 2200392"/>
                    <a:gd name="connsiteY4" fmla="*/ 3114675 h 3114675"/>
                    <a:gd name="connsiteX5" fmla="*/ 85837 w 2200392"/>
                    <a:gd name="connsiteY5" fmla="*/ 3114675 h 3114675"/>
                    <a:gd name="connsiteX6" fmla="*/ 112 w 2200392"/>
                    <a:gd name="connsiteY6" fmla="*/ 1552575 h 3114675"/>
                    <a:gd name="connsiteX7" fmla="*/ 2038462 w 2200392"/>
                    <a:gd name="connsiteY7" fmla="*/ 333375 h 3114675"/>
                    <a:gd name="connsiteX8" fmla="*/ 266812 w 2200392"/>
                    <a:gd name="connsiteY8" fmla="*/ 133350 h 3114675"/>
                    <a:gd name="connsiteX0" fmla="*/ 266812 w 2200392"/>
                    <a:gd name="connsiteY0" fmla="*/ 76200 h 3057525"/>
                    <a:gd name="connsiteX1" fmla="*/ 276337 w 2200392"/>
                    <a:gd name="connsiteY1" fmla="*/ 0 h 3057525"/>
                    <a:gd name="connsiteX2" fmla="*/ 2200387 w 2200392"/>
                    <a:gd name="connsiteY2" fmla="*/ 285750 h 3057525"/>
                    <a:gd name="connsiteX3" fmla="*/ 847837 w 2200392"/>
                    <a:gd name="connsiteY3" fmla="*/ 1447800 h 3057525"/>
                    <a:gd name="connsiteX4" fmla="*/ 771637 w 2200392"/>
                    <a:gd name="connsiteY4" fmla="*/ 3057525 h 3057525"/>
                    <a:gd name="connsiteX5" fmla="*/ 85837 w 2200392"/>
                    <a:gd name="connsiteY5" fmla="*/ 3057525 h 3057525"/>
                    <a:gd name="connsiteX6" fmla="*/ 112 w 2200392"/>
                    <a:gd name="connsiteY6" fmla="*/ 1495425 h 3057525"/>
                    <a:gd name="connsiteX7" fmla="*/ 2038462 w 2200392"/>
                    <a:gd name="connsiteY7" fmla="*/ 276225 h 3057525"/>
                    <a:gd name="connsiteX8" fmla="*/ 266812 w 2200392"/>
                    <a:gd name="connsiteY8" fmla="*/ 76200 h 3057525"/>
                    <a:gd name="connsiteX0" fmla="*/ 266812 w 2200392"/>
                    <a:gd name="connsiteY0" fmla="*/ 76200 h 3057525"/>
                    <a:gd name="connsiteX1" fmla="*/ 276337 w 2200392"/>
                    <a:gd name="connsiteY1" fmla="*/ 0 h 3057525"/>
                    <a:gd name="connsiteX2" fmla="*/ 2200387 w 2200392"/>
                    <a:gd name="connsiteY2" fmla="*/ 285750 h 3057525"/>
                    <a:gd name="connsiteX3" fmla="*/ 847837 w 2200392"/>
                    <a:gd name="connsiteY3" fmla="*/ 1447800 h 3057525"/>
                    <a:gd name="connsiteX4" fmla="*/ 771637 w 2200392"/>
                    <a:gd name="connsiteY4" fmla="*/ 3057525 h 3057525"/>
                    <a:gd name="connsiteX5" fmla="*/ 85837 w 2200392"/>
                    <a:gd name="connsiteY5" fmla="*/ 3057525 h 3057525"/>
                    <a:gd name="connsiteX6" fmla="*/ 112 w 2200392"/>
                    <a:gd name="connsiteY6" fmla="*/ 1495425 h 3057525"/>
                    <a:gd name="connsiteX7" fmla="*/ 2038462 w 2200392"/>
                    <a:gd name="connsiteY7" fmla="*/ 276225 h 3057525"/>
                    <a:gd name="connsiteX8" fmla="*/ 266812 w 2200392"/>
                    <a:gd name="connsiteY8" fmla="*/ 76200 h 3057525"/>
                    <a:gd name="connsiteX0" fmla="*/ 266812 w 2200392"/>
                    <a:gd name="connsiteY0" fmla="*/ 76200 h 3057525"/>
                    <a:gd name="connsiteX1" fmla="*/ 276337 w 2200392"/>
                    <a:gd name="connsiteY1" fmla="*/ 0 h 3057525"/>
                    <a:gd name="connsiteX2" fmla="*/ 2200387 w 2200392"/>
                    <a:gd name="connsiteY2" fmla="*/ 285750 h 3057525"/>
                    <a:gd name="connsiteX3" fmla="*/ 847837 w 2200392"/>
                    <a:gd name="connsiteY3" fmla="*/ 1447800 h 3057525"/>
                    <a:gd name="connsiteX4" fmla="*/ 771637 w 2200392"/>
                    <a:gd name="connsiteY4" fmla="*/ 3057525 h 3057525"/>
                    <a:gd name="connsiteX5" fmla="*/ 85837 w 2200392"/>
                    <a:gd name="connsiteY5" fmla="*/ 3057525 h 3057525"/>
                    <a:gd name="connsiteX6" fmla="*/ 112 w 2200392"/>
                    <a:gd name="connsiteY6" fmla="*/ 1495425 h 3057525"/>
                    <a:gd name="connsiteX7" fmla="*/ 2038462 w 2200392"/>
                    <a:gd name="connsiteY7" fmla="*/ 276225 h 3057525"/>
                    <a:gd name="connsiteX8" fmla="*/ 266812 w 2200392"/>
                    <a:gd name="connsiteY8" fmla="*/ 76200 h 3057525"/>
                    <a:gd name="connsiteX0" fmla="*/ 266811 w 2200391"/>
                    <a:gd name="connsiteY0" fmla="*/ 76200 h 3057525"/>
                    <a:gd name="connsiteX1" fmla="*/ 276336 w 2200391"/>
                    <a:gd name="connsiteY1" fmla="*/ 0 h 3057525"/>
                    <a:gd name="connsiteX2" fmla="*/ 2200386 w 2200391"/>
                    <a:gd name="connsiteY2" fmla="*/ 285750 h 3057525"/>
                    <a:gd name="connsiteX3" fmla="*/ 847836 w 2200391"/>
                    <a:gd name="connsiteY3" fmla="*/ 1447800 h 3057525"/>
                    <a:gd name="connsiteX4" fmla="*/ 771636 w 2200391"/>
                    <a:gd name="connsiteY4" fmla="*/ 3057525 h 3057525"/>
                    <a:gd name="connsiteX5" fmla="*/ 85836 w 2200391"/>
                    <a:gd name="connsiteY5" fmla="*/ 3057525 h 3057525"/>
                    <a:gd name="connsiteX6" fmla="*/ 111 w 2200391"/>
                    <a:gd name="connsiteY6" fmla="*/ 1495425 h 3057525"/>
                    <a:gd name="connsiteX7" fmla="*/ 2042090 w 2200391"/>
                    <a:gd name="connsiteY7" fmla="*/ 272588 h 3057525"/>
                    <a:gd name="connsiteX8" fmla="*/ 266811 w 2200391"/>
                    <a:gd name="connsiteY8" fmla="*/ 76200 h 3057525"/>
                    <a:gd name="connsiteX0" fmla="*/ 266811 w 2200391"/>
                    <a:gd name="connsiteY0" fmla="*/ 76200 h 3057525"/>
                    <a:gd name="connsiteX1" fmla="*/ 276336 w 2200391"/>
                    <a:gd name="connsiteY1" fmla="*/ 0 h 3057525"/>
                    <a:gd name="connsiteX2" fmla="*/ 2200386 w 2200391"/>
                    <a:gd name="connsiteY2" fmla="*/ 285750 h 3057525"/>
                    <a:gd name="connsiteX3" fmla="*/ 847836 w 2200391"/>
                    <a:gd name="connsiteY3" fmla="*/ 1447800 h 3057525"/>
                    <a:gd name="connsiteX4" fmla="*/ 771636 w 2200391"/>
                    <a:gd name="connsiteY4" fmla="*/ 3057525 h 3057525"/>
                    <a:gd name="connsiteX5" fmla="*/ 85836 w 2200391"/>
                    <a:gd name="connsiteY5" fmla="*/ 3057525 h 3057525"/>
                    <a:gd name="connsiteX6" fmla="*/ 111 w 2200391"/>
                    <a:gd name="connsiteY6" fmla="*/ 1495425 h 3057525"/>
                    <a:gd name="connsiteX7" fmla="*/ 2042090 w 2200391"/>
                    <a:gd name="connsiteY7" fmla="*/ 272588 h 3057525"/>
                    <a:gd name="connsiteX8" fmla="*/ 266811 w 2200391"/>
                    <a:gd name="connsiteY8" fmla="*/ 76200 h 3057525"/>
                    <a:gd name="connsiteX0" fmla="*/ 364775 w 2200391"/>
                    <a:gd name="connsiteY0" fmla="*/ 76200 h 3057525"/>
                    <a:gd name="connsiteX1" fmla="*/ 276336 w 2200391"/>
                    <a:gd name="connsiteY1" fmla="*/ 0 h 3057525"/>
                    <a:gd name="connsiteX2" fmla="*/ 2200386 w 2200391"/>
                    <a:gd name="connsiteY2" fmla="*/ 285750 h 3057525"/>
                    <a:gd name="connsiteX3" fmla="*/ 847836 w 2200391"/>
                    <a:gd name="connsiteY3" fmla="*/ 1447800 h 3057525"/>
                    <a:gd name="connsiteX4" fmla="*/ 771636 w 2200391"/>
                    <a:gd name="connsiteY4" fmla="*/ 3057525 h 3057525"/>
                    <a:gd name="connsiteX5" fmla="*/ 85836 w 2200391"/>
                    <a:gd name="connsiteY5" fmla="*/ 3057525 h 3057525"/>
                    <a:gd name="connsiteX6" fmla="*/ 111 w 2200391"/>
                    <a:gd name="connsiteY6" fmla="*/ 1495425 h 3057525"/>
                    <a:gd name="connsiteX7" fmla="*/ 2042090 w 2200391"/>
                    <a:gd name="connsiteY7" fmla="*/ 272588 h 3057525"/>
                    <a:gd name="connsiteX8" fmla="*/ 364775 w 2200391"/>
                    <a:gd name="connsiteY8" fmla="*/ 76200 h 3057525"/>
                    <a:gd name="connsiteX0" fmla="*/ 364775 w 2200391"/>
                    <a:gd name="connsiteY0" fmla="*/ 79836 h 3061161"/>
                    <a:gd name="connsiteX1" fmla="*/ 363415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64775 w 2200391"/>
                    <a:gd name="connsiteY8" fmla="*/ 79836 h 3061161"/>
                    <a:gd name="connsiteX0" fmla="*/ 364775 w 2200391"/>
                    <a:gd name="connsiteY0" fmla="*/ 79836 h 3061161"/>
                    <a:gd name="connsiteX1" fmla="*/ 348902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64775 w 2200391"/>
                    <a:gd name="connsiteY8" fmla="*/ 79836 h 3061161"/>
                    <a:gd name="connsiteX0" fmla="*/ 335748 w 2200391"/>
                    <a:gd name="connsiteY0" fmla="*/ 79836 h 3061161"/>
                    <a:gd name="connsiteX1" fmla="*/ 348902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35748 w 2200391"/>
                    <a:gd name="connsiteY8" fmla="*/ 79836 h 3061161"/>
                    <a:gd name="connsiteX0" fmla="*/ 350261 w 2200391"/>
                    <a:gd name="connsiteY0" fmla="*/ 76199 h 3061161"/>
                    <a:gd name="connsiteX1" fmla="*/ 348902 w 2200391"/>
                    <a:gd name="connsiteY1" fmla="*/ 0 h 3061161"/>
                    <a:gd name="connsiteX2" fmla="*/ 2200386 w 2200391"/>
                    <a:gd name="connsiteY2" fmla="*/ 289386 h 3061161"/>
                    <a:gd name="connsiteX3" fmla="*/ 847836 w 2200391"/>
                    <a:gd name="connsiteY3" fmla="*/ 1451436 h 3061161"/>
                    <a:gd name="connsiteX4" fmla="*/ 771636 w 2200391"/>
                    <a:gd name="connsiteY4" fmla="*/ 3061161 h 3061161"/>
                    <a:gd name="connsiteX5" fmla="*/ 85836 w 2200391"/>
                    <a:gd name="connsiteY5" fmla="*/ 3061161 h 3061161"/>
                    <a:gd name="connsiteX6" fmla="*/ 111 w 2200391"/>
                    <a:gd name="connsiteY6" fmla="*/ 1499061 h 3061161"/>
                    <a:gd name="connsiteX7" fmla="*/ 2042090 w 2200391"/>
                    <a:gd name="connsiteY7" fmla="*/ 276224 h 3061161"/>
                    <a:gd name="connsiteX8" fmla="*/ 350261 w 2200391"/>
                    <a:gd name="connsiteY8" fmla="*/ 76199 h 3061161"/>
                    <a:gd name="connsiteX0" fmla="*/ 350261 w 2200391"/>
                    <a:gd name="connsiteY0" fmla="*/ 43468 h 3028430"/>
                    <a:gd name="connsiteX1" fmla="*/ 345273 w 2200391"/>
                    <a:gd name="connsiteY1" fmla="*/ 0 h 3028430"/>
                    <a:gd name="connsiteX2" fmla="*/ 2200386 w 2200391"/>
                    <a:gd name="connsiteY2" fmla="*/ 256655 h 3028430"/>
                    <a:gd name="connsiteX3" fmla="*/ 847836 w 2200391"/>
                    <a:gd name="connsiteY3" fmla="*/ 1418705 h 3028430"/>
                    <a:gd name="connsiteX4" fmla="*/ 771636 w 2200391"/>
                    <a:gd name="connsiteY4" fmla="*/ 3028430 h 3028430"/>
                    <a:gd name="connsiteX5" fmla="*/ 85836 w 2200391"/>
                    <a:gd name="connsiteY5" fmla="*/ 3028430 h 3028430"/>
                    <a:gd name="connsiteX6" fmla="*/ 111 w 2200391"/>
                    <a:gd name="connsiteY6" fmla="*/ 1466330 h 3028430"/>
                    <a:gd name="connsiteX7" fmla="*/ 2042090 w 2200391"/>
                    <a:gd name="connsiteY7" fmla="*/ 243493 h 3028430"/>
                    <a:gd name="connsiteX8" fmla="*/ 350261 w 2200391"/>
                    <a:gd name="connsiteY8" fmla="*/ 43468 h 3028430"/>
                    <a:gd name="connsiteX0" fmla="*/ 350261 w 2200390"/>
                    <a:gd name="connsiteY0" fmla="*/ 43468 h 3028430"/>
                    <a:gd name="connsiteX1" fmla="*/ 345273 w 2200390"/>
                    <a:gd name="connsiteY1" fmla="*/ 0 h 3028430"/>
                    <a:gd name="connsiteX2" fmla="*/ 2200386 w 2200390"/>
                    <a:gd name="connsiteY2" fmla="*/ 256655 h 3028430"/>
                    <a:gd name="connsiteX3" fmla="*/ 201998 w 2200390"/>
                    <a:gd name="connsiteY3" fmla="*/ 1487805 h 3028430"/>
                    <a:gd name="connsiteX4" fmla="*/ 771636 w 2200390"/>
                    <a:gd name="connsiteY4" fmla="*/ 3028430 h 3028430"/>
                    <a:gd name="connsiteX5" fmla="*/ 85836 w 2200390"/>
                    <a:gd name="connsiteY5" fmla="*/ 3028430 h 3028430"/>
                    <a:gd name="connsiteX6" fmla="*/ 111 w 2200390"/>
                    <a:gd name="connsiteY6" fmla="*/ 1466330 h 3028430"/>
                    <a:gd name="connsiteX7" fmla="*/ 2042090 w 2200390"/>
                    <a:gd name="connsiteY7" fmla="*/ 243493 h 3028430"/>
                    <a:gd name="connsiteX8" fmla="*/ 350261 w 2200390"/>
                    <a:gd name="connsiteY8" fmla="*/ 43468 h 3028430"/>
                    <a:gd name="connsiteX0" fmla="*/ 350261 w 2200390"/>
                    <a:gd name="connsiteY0" fmla="*/ 43468 h 3028430"/>
                    <a:gd name="connsiteX1" fmla="*/ 345273 w 2200390"/>
                    <a:gd name="connsiteY1" fmla="*/ 0 h 3028430"/>
                    <a:gd name="connsiteX2" fmla="*/ 2200386 w 2200390"/>
                    <a:gd name="connsiteY2" fmla="*/ 256655 h 3028430"/>
                    <a:gd name="connsiteX3" fmla="*/ 201998 w 2200390"/>
                    <a:gd name="connsiteY3" fmla="*/ 1487805 h 3028430"/>
                    <a:gd name="connsiteX4" fmla="*/ 771636 w 2200390"/>
                    <a:gd name="connsiteY4" fmla="*/ 3028430 h 3028430"/>
                    <a:gd name="connsiteX5" fmla="*/ 85836 w 2200390"/>
                    <a:gd name="connsiteY5" fmla="*/ 3028430 h 3028430"/>
                    <a:gd name="connsiteX6" fmla="*/ 111 w 2200390"/>
                    <a:gd name="connsiteY6" fmla="*/ 1466330 h 3028430"/>
                    <a:gd name="connsiteX7" fmla="*/ 2042090 w 2200390"/>
                    <a:gd name="connsiteY7" fmla="*/ 243493 h 3028430"/>
                    <a:gd name="connsiteX8" fmla="*/ 350261 w 2200390"/>
                    <a:gd name="connsiteY8" fmla="*/ 43468 h 3028430"/>
                    <a:gd name="connsiteX0" fmla="*/ 350257 w 2200386"/>
                    <a:gd name="connsiteY0" fmla="*/ 43468 h 3028430"/>
                    <a:gd name="connsiteX1" fmla="*/ 345269 w 2200386"/>
                    <a:gd name="connsiteY1" fmla="*/ 0 h 3028430"/>
                    <a:gd name="connsiteX2" fmla="*/ 2200382 w 2200386"/>
                    <a:gd name="connsiteY2" fmla="*/ 256655 h 3028430"/>
                    <a:gd name="connsiteX3" fmla="*/ 201994 w 2200386"/>
                    <a:gd name="connsiteY3" fmla="*/ 1487805 h 3028430"/>
                    <a:gd name="connsiteX4" fmla="*/ 771632 w 2200386"/>
                    <a:gd name="connsiteY4" fmla="*/ 3028430 h 3028430"/>
                    <a:gd name="connsiteX5" fmla="*/ 85832 w 2200386"/>
                    <a:gd name="connsiteY5" fmla="*/ 3028430 h 3028430"/>
                    <a:gd name="connsiteX6" fmla="*/ 107 w 2200386"/>
                    <a:gd name="connsiteY6" fmla="*/ 1466330 h 3028430"/>
                    <a:gd name="connsiteX7" fmla="*/ 2042086 w 2200386"/>
                    <a:gd name="connsiteY7" fmla="*/ 243493 h 3028430"/>
                    <a:gd name="connsiteX8" fmla="*/ 350257 w 2200386"/>
                    <a:gd name="connsiteY8" fmla="*/ 43468 h 3028430"/>
                    <a:gd name="connsiteX0" fmla="*/ 350257 w 2564013"/>
                    <a:gd name="connsiteY0" fmla="*/ 43468 h 3028430"/>
                    <a:gd name="connsiteX1" fmla="*/ 345269 w 2564013"/>
                    <a:gd name="connsiteY1" fmla="*/ 0 h 3028430"/>
                    <a:gd name="connsiteX2" fmla="*/ 2200382 w 2564013"/>
                    <a:gd name="connsiteY2" fmla="*/ 256655 h 3028430"/>
                    <a:gd name="connsiteX3" fmla="*/ 201994 w 2564013"/>
                    <a:gd name="connsiteY3" fmla="*/ 1487805 h 3028430"/>
                    <a:gd name="connsiteX4" fmla="*/ 2564013 w 2564013"/>
                    <a:gd name="connsiteY4" fmla="*/ 2333802 h 3028430"/>
                    <a:gd name="connsiteX5" fmla="*/ 85832 w 2564013"/>
                    <a:gd name="connsiteY5" fmla="*/ 3028430 h 3028430"/>
                    <a:gd name="connsiteX6" fmla="*/ 107 w 2564013"/>
                    <a:gd name="connsiteY6" fmla="*/ 1466330 h 3028430"/>
                    <a:gd name="connsiteX7" fmla="*/ 2042086 w 2564013"/>
                    <a:gd name="connsiteY7" fmla="*/ 243493 h 3028430"/>
                    <a:gd name="connsiteX8" fmla="*/ 350257 w 2564013"/>
                    <a:gd name="connsiteY8" fmla="*/ 43468 h 3028430"/>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64013"/>
                    <a:gd name="connsiteY0" fmla="*/ 43468 h 2435633"/>
                    <a:gd name="connsiteX1" fmla="*/ 345269 w 2564013"/>
                    <a:gd name="connsiteY1" fmla="*/ 0 h 2435633"/>
                    <a:gd name="connsiteX2" fmla="*/ 2200382 w 2564013"/>
                    <a:gd name="connsiteY2" fmla="*/ 256655 h 2435633"/>
                    <a:gd name="connsiteX3" fmla="*/ 201994 w 2564013"/>
                    <a:gd name="connsiteY3" fmla="*/ 1487805 h 2435633"/>
                    <a:gd name="connsiteX4" fmla="*/ 2564013 w 2564013"/>
                    <a:gd name="connsiteY4" fmla="*/ 2333802 h 2435633"/>
                    <a:gd name="connsiteX5" fmla="*/ 2353520 w 2564013"/>
                    <a:gd name="connsiteY5" fmla="*/ 2435633 h 2435633"/>
                    <a:gd name="connsiteX6" fmla="*/ 107 w 2564013"/>
                    <a:gd name="connsiteY6" fmla="*/ 1466330 h 2435633"/>
                    <a:gd name="connsiteX7" fmla="*/ 2042086 w 2564013"/>
                    <a:gd name="connsiteY7" fmla="*/ 243493 h 2435633"/>
                    <a:gd name="connsiteX8" fmla="*/ 350257 w 2564013"/>
                    <a:gd name="connsiteY8" fmla="*/ 43468 h 2435633"/>
                    <a:gd name="connsiteX0" fmla="*/ 350257 w 2505960"/>
                    <a:gd name="connsiteY0" fmla="*/ 43468 h 2435633"/>
                    <a:gd name="connsiteX1" fmla="*/ 345269 w 2505960"/>
                    <a:gd name="connsiteY1" fmla="*/ 0 h 2435633"/>
                    <a:gd name="connsiteX2" fmla="*/ 2200382 w 2505960"/>
                    <a:gd name="connsiteY2" fmla="*/ 256655 h 2435633"/>
                    <a:gd name="connsiteX3" fmla="*/ 201994 w 2505960"/>
                    <a:gd name="connsiteY3" fmla="*/ 1487805 h 2435633"/>
                    <a:gd name="connsiteX4" fmla="*/ 2505960 w 2505960"/>
                    <a:gd name="connsiteY4" fmla="*/ 2308345 h 2435633"/>
                    <a:gd name="connsiteX5" fmla="*/ 2353520 w 2505960"/>
                    <a:gd name="connsiteY5" fmla="*/ 2435633 h 2435633"/>
                    <a:gd name="connsiteX6" fmla="*/ 107 w 2505960"/>
                    <a:gd name="connsiteY6" fmla="*/ 1466330 h 2435633"/>
                    <a:gd name="connsiteX7" fmla="*/ 2042086 w 2505960"/>
                    <a:gd name="connsiteY7" fmla="*/ 243493 h 2435633"/>
                    <a:gd name="connsiteX8" fmla="*/ 350257 w 2505960"/>
                    <a:gd name="connsiteY8" fmla="*/ 43468 h 2435633"/>
                    <a:gd name="connsiteX0" fmla="*/ 350257 w 2505960"/>
                    <a:gd name="connsiteY0" fmla="*/ 43468 h 2435633"/>
                    <a:gd name="connsiteX1" fmla="*/ 345269 w 2505960"/>
                    <a:gd name="connsiteY1" fmla="*/ 0 h 2435633"/>
                    <a:gd name="connsiteX2" fmla="*/ 2200382 w 2505960"/>
                    <a:gd name="connsiteY2" fmla="*/ 256655 h 2435633"/>
                    <a:gd name="connsiteX3" fmla="*/ 1068560 w 2505960"/>
                    <a:gd name="connsiteY3" fmla="*/ 1363981 h 2435633"/>
                    <a:gd name="connsiteX4" fmla="*/ 2505960 w 2505960"/>
                    <a:gd name="connsiteY4" fmla="*/ 2308345 h 2435633"/>
                    <a:gd name="connsiteX5" fmla="*/ 2353520 w 2505960"/>
                    <a:gd name="connsiteY5" fmla="*/ 2435633 h 2435633"/>
                    <a:gd name="connsiteX6" fmla="*/ 107 w 2505960"/>
                    <a:gd name="connsiteY6" fmla="*/ 1466330 h 2435633"/>
                    <a:gd name="connsiteX7" fmla="*/ 2042086 w 2505960"/>
                    <a:gd name="connsiteY7" fmla="*/ 243493 h 2435633"/>
                    <a:gd name="connsiteX8" fmla="*/ 350257 w 2505960"/>
                    <a:gd name="connsiteY8" fmla="*/ 43468 h 2435633"/>
                    <a:gd name="connsiteX0" fmla="*/ 4988 w 2160691"/>
                    <a:gd name="connsiteY0" fmla="*/ 43468 h 2435633"/>
                    <a:gd name="connsiteX1" fmla="*/ 0 w 2160691"/>
                    <a:gd name="connsiteY1" fmla="*/ 0 h 2435633"/>
                    <a:gd name="connsiteX2" fmla="*/ 1855113 w 2160691"/>
                    <a:gd name="connsiteY2" fmla="*/ 256655 h 2435633"/>
                    <a:gd name="connsiteX3" fmla="*/ 723291 w 2160691"/>
                    <a:gd name="connsiteY3" fmla="*/ 1363981 h 2435633"/>
                    <a:gd name="connsiteX4" fmla="*/ 2160691 w 2160691"/>
                    <a:gd name="connsiteY4" fmla="*/ 2308345 h 2435633"/>
                    <a:gd name="connsiteX5" fmla="*/ 2008251 w 2160691"/>
                    <a:gd name="connsiteY5" fmla="*/ 2435633 h 2435633"/>
                    <a:gd name="connsiteX6" fmla="*/ 502358 w 2160691"/>
                    <a:gd name="connsiteY6" fmla="*/ 1342505 h 2435633"/>
                    <a:gd name="connsiteX7" fmla="*/ 1696817 w 2160691"/>
                    <a:gd name="connsiteY7" fmla="*/ 243493 h 2435633"/>
                    <a:gd name="connsiteX8" fmla="*/ 4988 w 2160691"/>
                    <a:gd name="connsiteY8" fmla="*/ 43468 h 2435633"/>
                    <a:gd name="connsiteX0" fmla="*/ 4988 w 2160691"/>
                    <a:gd name="connsiteY0" fmla="*/ 43468 h 2435633"/>
                    <a:gd name="connsiteX1" fmla="*/ 0 w 2160691"/>
                    <a:gd name="connsiteY1" fmla="*/ 0 h 2435633"/>
                    <a:gd name="connsiteX2" fmla="*/ 1855113 w 2160691"/>
                    <a:gd name="connsiteY2" fmla="*/ 256655 h 2435633"/>
                    <a:gd name="connsiteX3" fmla="*/ 723291 w 2160691"/>
                    <a:gd name="connsiteY3" fmla="*/ 1363981 h 2435633"/>
                    <a:gd name="connsiteX4" fmla="*/ 2160691 w 2160691"/>
                    <a:gd name="connsiteY4" fmla="*/ 2308345 h 2435633"/>
                    <a:gd name="connsiteX5" fmla="*/ 2008251 w 2160691"/>
                    <a:gd name="connsiteY5" fmla="*/ 2435633 h 2435633"/>
                    <a:gd name="connsiteX6" fmla="*/ 502358 w 2160691"/>
                    <a:gd name="connsiteY6" fmla="*/ 1342505 h 2435633"/>
                    <a:gd name="connsiteX7" fmla="*/ 1696817 w 2160691"/>
                    <a:gd name="connsiteY7" fmla="*/ 243493 h 2435633"/>
                    <a:gd name="connsiteX8" fmla="*/ 4988 w 2160691"/>
                    <a:gd name="connsiteY8" fmla="*/ 43468 h 2435633"/>
                    <a:gd name="connsiteX0" fmla="*/ 4988 w 2236873"/>
                    <a:gd name="connsiteY0" fmla="*/ 43468 h 2435633"/>
                    <a:gd name="connsiteX1" fmla="*/ 0 w 2236873"/>
                    <a:gd name="connsiteY1" fmla="*/ 0 h 2435633"/>
                    <a:gd name="connsiteX2" fmla="*/ 1855113 w 2236873"/>
                    <a:gd name="connsiteY2" fmla="*/ 256655 h 2435633"/>
                    <a:gd name="connsiteX3" fmla="*/ 723291 w 2236873"/>
                    <a:gd name="connsiteY3" fmla="*/ 1363981 h 2435633"/>
                    <a:gd name="connsiteX4" fmla="*/ 2236873 w 2236873"/>
                    <a:gd name="connsiteY4" fmla="*/ 1974971 h 2435633"/>
                    <a:gd name="connsiteX5" fmla="*/ 2008251 w 2236873"/>
                    <a:gd name="connsiteY5" fmla="*/ 2435633 h 2435633"/>
                    <a:gd name="connsiteX6" fmla="*/ 502358 w 2236873"/>
                    <a:gd name="connsiteY6" fmla="*/ 1342505 h 2435633"/>
                    <a:gd name="connsiteX7" fmla="*/ 1696817 w 2236873"/>
                    <a:gd name="connsiteY7" fmla="*/ 243493 h 2435633"/>
                    <a:gd name="connsiteX8" fmla="*/ 4988 w 2236873"/>
                    <a:gd name="connsiteY8" fmla="*/ 43468 h 2435633"/>
                    <a:gd name="connsiteX0" fmla="*/ 4988 w 2236873"/>
                    <a:gd name="connsiteY0" fmla="*/ 43468 h 2159408"/>
                    <a:gd name="connsiteX1" fmla="*/ 0 w 2236873"/>
                    <a:gd name="connsiteY1" fmla="*/ 0 h 2159408"/>
                    <a:gd name="connsiteX2" fmla="*/ 1855113 w 2236873"/>
                    <a:gd name="connsiteY2" fmla="*/ 256655 h 2159408"/>
                    <a:gd name="connsiteX3" fmla="*/ 723291 w 2236873"/>
                    <a:gd name="connsiteY3" fmla="*/ 1363981 h 2159408"/>
                    <a:gd name="connsiteX4" fmla="*/ 2236873 w 2236873"/>
                    <a:gd name="connsiteY4" fmla="*/ 1974971 h 2159408"/>
                    <a:gd name="connsiteX5" fmla="*/ 2208228 w 2236873"/>
                    <a:gd name="connsiteY5" fmla="*/ 2159408 h 2159408"/>
                    <a:gd name="connsiteX6" fmla="*/ 502358 w 2236873"/>
                    <a:gd name="connsiteY6" fmla="*/ 1342505 h 2159408"/>
                    <a:gd name="connsiteX7" fmla="*/ 1696817 w 2236873"/>
                    <a:gd name="connsiteY7" fmla="*/ 243493 h 2159408"/>
                    <a:gd name="connsiteX8" fmla="*/ 4988 w 2236873"/>
                    <a:gd name="connsiteY8" fmla="*/ 43468 h 2159408"/>
                    <a:gd name="connsiteX0" fmla="*/ 4988 w 2255918"/>
                    <a:gd name="connsiteY0" fmla="*/ 43468 h 2159408"/>
                    <a:gd name="connsiteX1" fmla="*/ 0 w 2255918"/>
                    <a:gd name="connsiteY1" fmla="*/ 0 h 2159408"/>
                    <a:gd name="connsiteX2" fmla="*/ 1855113 w 2255918"/>
                    <a:gd name="connsiteY2" fmla="*/ 256655 h 2159408"/>
                    <a:gd name="connsiteX3" fmla="*/ 723291 w 2255918"/>
                    <a:gd name="connsiteY3" fmla="*/ 1363981 h 2159408"/>
                    <a:gd name="connsiteX4" fmla="*/ 2255918 w 2255918"/>
                    <a:gd name="connsiteY4" fmla="*/ 1641597 h 2159408"/>
                    <a:gd name="connsiteX5" fmla="*/ 2208228 w 2255918"/>
                    <a:gd name="connsiteY5" fmla="*/ 2159408 h 2159408"/>
                    <a:gd name="connsiteX6" fmla="*/ 502358 w 2255918"/>
                    <a:gd name="connsiteY6" fmla="*/ 1342505 h 2159408"/>
                    <a:gd name="connsiteX7" fmla="*/ 1696817 w 2255918"/>
                    <a:gd name="connsiteY7" fmla="*/ 243493 h 2159408"/>
                    <a:gd name="connsiteX8" fmla="*/ 4988 w 2255918"/>
                    <a:gd name="connsiteY8" fmla="*/ 43468 h 2159408"/>
                    <a:gd name="connsiteX0" fmla="*/ 4988 w 2265365"/>
                    <a:gd name="connsiteY0" fmla="*/ 43468 h 1778409"/>
                    <a:gd name="connsiteX1" fmla="*/ 0 w 2265365"/>
                    <a:gd name="connsiteY1" fmla="*/ 0 h 1778409"/>
                    <a:gd name="connsiteX2" fmla="*/ 1855113 w 2265365"/>
                    <a:gd name="connsiteY2" fmla="*/ 256655 h 1778409"/>
                    <a:gd name="connsiteX3" fmla="*/ 723291 w 2265365"/>
                    <a:gd name="connsiteY3" fmla="*/ 1363981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723291 w 2265365"/>
                    <a:gd name="connsiteY3" fmla="*/ 1363981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723291 w 2265365"/>
                    <a:gd name="connsiteY3" fmla="*/ 1363981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83004 w 2265365"/>
                    <a:gd name="connsiteY3" fmla="*/ 1256818 h 1778409"/>
                    <a:gd name="connsiteX4" fmla="*/ 2255918 w 2265365"/>
                    <a:gd name="connsiteY4" fmla="*/ 1641597 h 1778409"/>
                    <a:gd name="connsiteX5" fmla="*/ 2265365 w 2265365"/>
                    <a:gd name="connsiteY5" fmla="*/ 1778409 h 1778409"/>
                    <a:gd name="connsiteX6" fmla="*/ 502358 w 2265365"/>
                    <a:gd name="connsiteY6" fmla="*/ 1342505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83004 w 2265365"/>
                    <a:gd name="connsiteY3" fmla="*/ 1256818 h 1778409"/>
                    <a:gd name="connsiteX4" fmla="*/ 2255918 w 2265365"/>
                    <a:gd name="connsiteY4" fmla="*/ 1641597 h 1778409"/>
                    <a:gd name="connsiteX5" fmla="*/ 2265365 w 2265365"/>
                    <a:gd name="connsiteY5" fmla="*/ 1778409 h 1778409"/>
                    <a:gd name="connsiteX6" fmla="*/ 854571 w 2265365"/>
                    <a:gd name="connsiteY6" fmla="*/ 1274636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83004 w 2265365"/>
                    <a:gd name="connsiteY3" fmla="*/ 1256818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18965 w 2265365"/>
                    <a:gd name="connsiteY3" fmla="*/ 1049637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18965 w 2265365"/>
                    <a:gd name="connsiteY3" fmla="*/ 1049637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5918 w 2265365"/>
                    <a:gd name="connsiteY4" fmla="*/ 1641597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696817 w 2265365"/>
                    <a:gd name="connsiteY7" fmla="*/ 24349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753740 w 2265365"/>
                    <a:gd name="connsiteY7" fmla="*/ 261353 h 1778409"/>
                    <a:gd name="connsiteX8" fmla="*/ 4988 w 2265365"/>
                    <a:gd name="connsiteY8" fmla="*/ 43468 h 1778409"/>
                    <a:gd name="connsiteX0" fmla="*/ 4988 w 2265365"/>
                    <a:gd name="connsiteY0" fmla="*/ 43468 h 1778409"/>
                    <a:gd name="connsiteX1" fmla="*/ 0 w 2265365"/>
                    <a:gd name="connsiteY1" fmla="*/ 0 h 1778409"/>
                    <a:gd name="connsiteX2" fmla="*/ 1855113 w 2265365"/>
                    <a:gd name="connsiteY2" fmla="*/ 256655 h 1778409"/>
                    <a:gd name="connsiteX3" fmla="*/ 929639 w 2265365"/>
                    <a:gd name="connsiteY3" fmla="*/ 1046065 h 1778409"/>
                    <a:gd name="connsiteX4" fmla="*/ 2252361 w 2265365"/>
                    <a:gd name="connsiteY4" fmla="*/ 1677318 h 1778409"/>
                    <a:gd name="connsiteX5" fmla="*/ 2265365 w 2265365"/>
                    <a:gd name="connsiteY5" fmla="*/ 1778409 h 1778409"/>
                    <a:gd name="connsiteX6" fmla="*/ 829668 w 2265365"/>
                    <a:gd name="connsiteY6" fmla="*/ 1028161 h 1778409"/>
                    <a:gd name="connsiteX7" fmla="*/ 1753740 w 2265365"/>
                    <a:gd name="connsiteY7" fmla="*/ 261353 h 1778409"/>
                    <a:gd name="connsiteX8" fmla="*/ 4988 w 2265365"/>
                    <a:gd name="connsiteY8" fmla="*/ 43468 h 1778409"/>
                    <a:gd name="connsiteX0" fmla="*/ 4988 w 2284380"/>
                    <a:gd name="connsiteY0" fmla="*/ 43468 h 1778409"/>
                    <a:gd name="connsiteX1" fmla="*/ 0 w 2284380"/>
                    <a:gd name="connsiteY1" fmla="*/ 0 h 1778409"/>
                    <a:gd name="connsiteX2" fmla="*/ 1855113 w 2284380"/>
                    <a:gd name="connsiteY2" fmla="*/ 256655 h 1778409"/>
                    <a:gd name="connsiteX3" fmla="*/ 929639 w 2284380"/>
                    <a:gd name="connsiteY3" fmla="*/ 1046065 h 1778409"/>
                    <a:gd name="connsiteX4" fmla="*/ 2284380 w 2284380"/>
                    <a:gd name="connsiteY4" fmla="*/ 1441560 h 1778409"/>
                    <a:gd name="connsiteX5" fmla="*/ 2265365 w 2284380"/>
                    <a:gd name="connsiteY5" fmla="*/ 1778409 h 1778409"/>
                    <a:gd name="connsiteX6" fmla="*/ 829668 w 2284380"/>
                    <a:gd name="connsiteY6" fmla="*/ 1028161 h 1778409"/>
                    <a:gd name="connsiteX7" fmla="*/ 1753740 w 2284380"/>
                    <a:gd name="connsiteY7" fmla="*/ 261353 h 1778409"/>
                    <a:gd name="connsiteX8" fmla="*/ 4988 w 2284380"/>
                    <a:gd name="connsiteY8" fmla="*/ 43468 h 1778409"/>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29639 w 2286710"/>
                    <a:gd name="connsiteY3" fmla="*/ 1046065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4988 w 2286710"/>
                    <a:gd name="connsiteY0" fmla="*/ 43468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4988 w 2286710"/>
                    <a:gd name="connsiteY8" fmla="*/ 43468 h 1503358"/>
                    <a:gd name="connsiteX0" fmla="*/ 14 w 2295966"/>
                    <a:gd name="connsiteY0" fmla="*/ 39896 h 1503358"/>
                    <a:gd name="connsiteX1" fmla="*/ 9256 w 2295966"/>
                    <a:gd name="connsiteY1" fmla="*/ 0 h 1503358"/>
                    <a:gd name="connsiteX2" fmla="*/ 1864369 w 2295966"/>
                    <a:gd name="connsiteY2" fmla="*/ 256655 h 1503358"/>
                    <a:gd name="connsiteX3" fmla="*/ 921106 w 2295966"/>
                    <a:gd name="connsiteY3" fmla="*/ 1038920 h 1503358"/>
                    <a:gd name="connsiteX4" fmla="*/ 2293636 w 2295966"/>
                    <a:gd name="connsiteY4" fmla="*/ 1441560 h 1503358"/>
                    <a:gd name="connsiteX5" fmla="*/ 2295966 w 2295966"/>
                    <a:gd name="connsiteY5" fmla="*/ 1503358 h 1503358"/>
                    <a:gd name="connsiteX6" fmla="*/ 838924 w 2295966"/>
                    <a:gd name="connsiteY6" fmla="*/ 1028161 h 1503358"/>
                    <a:gd name="connsiteX7" fmla="*/ 1762996 w 2295966"/>
                    <a:gd name="connsiteY7" fmla="*/ 261353 h 1503358"/>
                    <a:gd name="connsiteX8" fmla="*/ 14 w 2295966"/>
                    <a:gd name="connsiteY8" fmla="*/ 39896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29668 w 2286710"/>
                    <a:gd name="connsiteY6" fmla="*/ 1028161 h 1503358"/>
                    <a:gd name="connsiteX7" fmla="*/ 1753740 w 2286710"/>
                    <a:gd name="connsiteY7" fmla="*/ 261353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53740 w 2286710"/>
                    <a:gd name="connsiteY7" fmla="*/ 261353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75087 w 2286710"/>
                    <a:gd name="connsiteY7" fmla="*/ 243492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75087 w 2286710"/>
                    <a:gd name="connsiteY7" fmla="*/ 243492 h 1503358"/>
                    <a:gd name="connsiteX8" fmla="*/ 1431 w 2286710"/>
                    <a:gd name="connsiteY8" fmla="*/ 32752 h 1503358"/>
                    <a:gd name="connsiteX0" fmla="*/ 1431 w 2286710"/>
                    <a:gd name="connsiteY0" fmla="*/ 32752 h 1503358"/>
                    <a:gd name="connsiteX1" fmla="*/ 0 w 2286710"/>
                    <a:gd name="connsiteY1" fmla="*/ 0 h 1503358"/>
                    <a:gd name="connsiteX2" fmla="*/ 1855113 w 2286710"/>
                    <a:gd name="connsiteY2" fmla="*/ 256655 h 1503358"/>
                    <a:gd name="connsiteX3" fmla="*/ 911850 w 2286710"/>
                    <a:gd name="connsiteY3" fmla="*/ 1038920 h 1503358"/>
                    <a:gd name="connsiteX4" fmla="*/ 2284380 w 2286710"/>
                    <a:gd name="connsiteY4" fmla="*/ 1441560 h 1503358"/>
                    <a:gd name="connsiteX5" fmla="*/ 2286710 w 2286710"/>
                    <a:gd name="connsiteY5" fmla="*/ 1503358 h 1503358"/>
                    <a:gd name="connsiteX6" fmla="*/ 808322 w 2286710"/>
                    <a:gd name="connsiteY6" fmla="*/ 1028161 h 1503358"/>
                    <a:gd name="connsiteX7" fmla="*/ 1775087 w 2286710"/>
                    <a:gd name="connsiteY7" fmla="*/ 243492 h 1503358"/>
                    <a:gd name="connsiteX8" fmla="*/ 1431 w 2286710"/>
                    <a:gd name="connsiteY8" fmla="*/ 32752 h 1503358"/>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4380 w 2286710"/>
                    <a:gd name="connsiteY4" fmla="*/ 1430844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4380 w 2286710"/>
                    <a:gd name="connsiteY4" fmla="*/ 1430844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0822 w 2286710"/>
                    <a:gd name="connsiteY4" fmla="*/ 1412983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80822 w 2286710"/>
                    <a:gd name="connsiteY4" fmla="*/ 1412983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6710"/>
                    <a:gd name="connsiteY0" fmla="*/ 22036 h 1492642"/>
                    <a:gd name="connsiteX1" fmla="*/ 0 w 2286710"/>
                    <a:gd name="connsiteY1" fmla="*/ 0 h 1492642"/>
                    <a:gd name="connsiteX2" fmla="*/ 1855113 w 2286710"/>
                    <a:gd name="connsiteY2" fmla="*/ 245939 h 1492642"/>
                    <a:gd name="connsiteX3" fmla="*/ 911850 w 2286710"/>
                    <a:gd name="connsiteY3" fmla="*/ 1028204 h 1492642"/>
                    <a:gd name="connsiteX4" fmla="*/ 2277264 w 2286710"/>
                    <a:gd name="connsiteY4" fmla="*/ 1402266 h 1492642"/>
                    <a:gd name="connsiteX5" fmla="*/ 2286710 w 2286710"/>
                    <a:gd name="connsiteY5" fmla="*/ 1492642 h 1492642"/>
                    <a:gd name="connsiteX6" fmla="*/ 808322 w 2286710"/>
                    <a:gd name="connsiteY6" fmla="*/ 1017445 h 1492642"/>
                    <a:gd name="connsiteX7" fmla="*/ 1775087 w 2286710"/>
                    <a:gd name="connsiteY7" fmla="*/ 232776 h 1492642"/>
                    <a:gd name="connsiteX8" fmla="*/ 1431 w 2286710"/>
                    <a:gd name="connsiteY8" fmla="*/ 22036 h 1492642"/>
                    <a:gd name="connsiteX0" fmla="*/ 1431 w 2288075"/>
                    <a:gd name="connsiteY0" fmla="*/ 22036 h 1492642"/>
                    <a:gd name="connsiteX1" fmla="*/ 0 w 2288075"/>
                    <a:gd name="connsiteY1" fmla="*/ 0 h 1492642"/>
                    <a:gd name="connsiteX2" fmla="*/ 1855113 w 2288075"/>
                    <a:gd name="connsiteY2" fmla="*/ 245939 h 1492642"/>
                    <a:gd name="connsiteX3" fmla="*/ 911850 w 2288075"/>
                    <a:gd name="connsiteY3" fmla="*/ 1028204 h 1492642"/>
                    <a:gd name="connsiteX4" fmla="*/ 2287937 w 2288075"/>
                    <a:gd name="connsiteY4" fmla="*/ 1402266 h 1492642"/>
                    <a:gd name="connsiteX5" fmla="*/ 2286710 w 2288075"/>
                    <a:gd name="connsiteY5" fmla="*/ 1492642 h 1492642"/>
                    <a:gd name="connsiteX6" fmla="*/ 808322 w 2288075"/>
                    <a:gd name="connsiteY6" fmla="*/ 1017445 h 1492642"/>
                    <a:gd name="connsiteX7" fmla="*/ 1775087 w 2288075"/>
                    <a:gd name="connsiteY7" fmla="*/ 232776 h 1492642"/>
                    <a:gd name="connsiteX8" fmla="*/ 1431 w 2288075"/>
                    <a:gd name="connsiteY8" fmla="*/ 22036 h 1492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88075" h="1492642">
                      <a:moveTo>
                        <a:pt x="1431" y="22036"/>
                      </a:moveTo>
                      <a:cubicBezTo>
                        <a:pt x="978" y="-4576"/>
                        <a:pt x="453" y="26612"/>
                        <a:pt x="0" y="0"/>
                      </a:cubicBezTo>
                      <a:cubicBezTo>
                        <a:pt x="320288" y="1618"/>
                        <a:pt x="1801364" y="-2503"/>
                        <a:pt x="1855113" y="245939"/>
                      </a:cubicBezTo>
                      <a:cubicBezTo>
                        <a:pt x="1858288" y="699964"/>
                        <a:pt x="855310" y="577751"/>
                        <a:pt x="911850" y="1028204"/>
                      </a:cubicBezTo>
                      <a:cubicBezTo>
                        <a:pt x="941724" y="1250752"/>
                        <a:pt x="1326933" y="1391642"/>
                        <a:pt x="2287937" y="1402266"/>
                      </a:cubicBezTo>
                      <a:cubicBezTo>
                        <a:pt x="2288714" y="1422865"/>
                        <a:pt x="2285933" y="1472043"/>
                        <a:pt x="2286710" y="1492642"/>
                      </a:cubicBezTo>
                      <a:cubicBezTo>
                        <a:pt x="1907428" y="1478956"/>
                        <a:pt x="825785" y="1512745"/>
                        <a:pt x="808322" y="1017445"/>
                      </a:cubicBezTo>
                      <a:cubicBezTo>
                        <a:pt x="790860" y="522145"/>
                        <a:pt x="1907383" y="588771"/>
                        <a:pt x="1775087" y="232776"/>
                      </a:cubicBezTo>
                      <a:cubicBezTo>
                        <a:pt x="1753996" y="75765"/>
                        <a:pt x="740741" y="41433"/>
                        <a:pt x="1431" y="22036"/>
                      </a:cubicBezTo>
                      <a:close/>
                    </a:path>
                  </a:pathLst>
                </a:custGeom>
                <a:solidFill>
                  <a:schemeClr val="tx1">
                    <a:lumMod val="65000"/>
                    <a:lumOff val="35000"/>
                  </a:schemeClr>
                </a:solidFill>
                <a:ln>
                  <a:noFill/>
                </a:ln>
                <a:scene3d>
                  <a:camera prst="perspectiveRelaxed">
                    <a:rot lat="17973601"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79" name="Gelijkbenige driehoek 58" descr="Pijl die naar rechts wijst">
                  <a:extLst>
                    <a:ext uri="{FF2B5EF4-FFF2-40B4-BE49-F238E27FC236}">
                      <a16:creationId xmlns:a16="http://schemas.microsoft.com/office/drawing/2014/main" id="{56C40830-82D4-3E2E-12FC-AB587D2AB33D}"/>
                    </a:ext>
                  </a:extLst>
                </xdr:cNvPr>
                <xdr:cNvSpPr/>
              </xdr:nvSpPr>
              <xdr:spPr>
                <a:xfrm rot="5400000">
                  <a:off x="8753309" y="4854560"/>
                  <a:ext cx="1521184" cy="877498"/>
                </a:xfrm>
                <a:prstGeom prst="triangle">
                  <a:avLst/>
                </a:prstGeom>
                <a:solidFill>
                  <a:schemeClr val="tx1">
                    <a:lumMod val="65000"/>
                    <a:lumOff val="35000"/>
                  </a:schemeClr>
                </a:solidFill>
                <a:ln>
                  <a:noFill/>
                </a:ln>
                <a:scene3d>
                  <a:camera prst="perspectiveRelaxed">
                    <a:rot lat="17973601"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nvGrpSpPr>
                <xdr:cNvPr id="80" name="Groep 59" descr="Tussenstukken">
                  <a:extLst>
                    <a:ext uri="{FF2B5EF4-FFF2-40B4-BE49-F238E27FC236}">
                      <a16:creationId xmlns:a16="http://schemas.microsoft.com/office/drawing/2014/main" id="{4011CAF1-C1B0-F105-5564-A26C1A52DADD}"/>
                    </a:ext>
                  </a:extLst>
                </xdr:cNvPr>
                <xdr:cNvGrpSpPr/>
              </xdr:nvGrpSpPr>
              <xdr:grpSpPr>
                <a:xfrm>
                  <a:off x="3059939" y="2204607"/>
                  <a:ext cx="2722466" cy="3127198"/>
                  <a:chOff x="7138838" y="2602704"/>
                  <a:chExt cx="2211479" cy="2381260"/>
                </a:xfrm>
              </xdr:grpSpPr>
              <xdr:sp macro="" textlink="">
                <xdr:nvSpPr>
                  <xdr:cNvPr id="81" name="Rechthoek 60" descr="Tussenstuk">
                    <a:extLst>
                      <a:ext uri="{FF2B5EF4-FFF2-40B4-BE49-F238E27FC236}">
                        <a16:creationId xmlns:a16="http://schemas.microsoft.com/office/drawing/2014/main" id="{D8DE2FC9-FA91-7CB3-B6FE-601FA63185B3}"/>
                      </a:ext>
                    </a:extLst>
                  </xdr:cNvPr>
                  <xdr:cNvSpPr/>
                </xdr:nvSpPr>
                <xdr:spPr>
                  <a:xfrm>
                    <a:off x="7138838" y="2602704"/>
                    <a:ext cx="53067" cy="696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82" name="Rechthoek 61" descr="Tussenstuk">
                    <a:extLst>
                      <a:ext uri="{FF2B5EF4-FFF2-40B4-BE49-F238E27FC236}">
                        <a16:creationId xmlns:a16="http://schemas.microsoft.com/office/drawing/2014/main" id="{C026DCEA-1A8D-3D3E-9927-6F9A621D3F5B}"/>
                      </a:ext>
                    </a:extLst>
                  </xdr:cNvPr>
                  <xdr:cNvSpPr/>
                </xdr:nvSpPr>
                <xdr:spPr>
                  <a:xfrm>
                    <a:off x="9104500" y="2677434"/>
                    <a:ext cx="53067" cy="9051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83" name="Rechthoek 62" descr="Tussenstuk">
                    <a:extLst>
                      <a:ext uri="{FF2B5EF4-FFF2-40B4-BE49-F238E27FC236}">
                        <a16:creationId xmlns:a16="http://schemas.microsoft.com/office/drawing/2014/main" id="{E9764EB6-E8B6-773A-093C-2BFACDBB5BA8}"/>
                      </a:ext>
                    </a:extLst>
                  </xdr:cNvPr>
                  <xdr:cNvSpPr/>
                </xdr:nvSpPr>
                <xdr:spPr>
                  <a:xfrm rot="20599438">
                    <a:off x="9270717" y="3235062"/>
                    <a:ext cx="79600" cy="1495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84" name="Rechthoek 63" descr="Tussenstuk">
                    <a:extLst>
                      <a:ext uri="{FF2B5EF4-FFF2-40B4-BE49-F238E27FC236}">
                        <a16:creationId xmlns:a16="http://schemas.microsoft.com/office/drawing/2014/main" id="{B1B67071-F308-A8EC-22FF-0F687C4062CE}"/>
                      </a:ext>
                    </a:extLst>
                  </xdr:cNvPr>
                  <xdr:cNvSpPr/>
                </xdr:nvSpPr>
                <xdr:spPr>
                  <a:xfrm rot="374208">
                    <a:off x="9243265" y="4733301"/>
                    <a:ext cx="106134" cy="25066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grpSp>
          <xdr:grpSp>
            <xdr:nvGrpSpPr>
              <xdr:cNvPr id="85" name="Groep 15" descr="Tekstvakken voor mijlpaalbeschrijvingen">
                <a:extLst>
                  <a:ext uri="{FF2B5EF4-FFF2-40B4-BE49-F238E27FC236}">
                    <a16:creationId xmlns:a16="http://schemas.microsoft.com/office/drawing/2014/main" id="{AD5F3DE3-79E8-70DC-0960-D31F7DA432A1}"/>
                  </a:ext>
                </a:extLst>
              </xdr:cNvPr>
              <xdr:cNvGrpSpPr/>
            </xdr:nvGrpSpPr>
            <xdr:grpSpPr>
              <a:xfrm>
                <a:off x="2075583" y="155378"/>
                <a:ext cx="9491443" cy="4000102"/>
                <a:chOff x="2075583" y="155378"/>
                <a:chExt cx="9491443" cy="4000102"/>
              </a:xfrm>
            </xdr:grpSpPr>
            <xdr:sp macro="" textlink="Grafiekgegevens!D4">
              <xdr:nvSpPr>
                <xdr:cNvPr id="86" name="Rechthoek 52">
                  <a:extLst>
                    <a:ext uri="{FF2B5EF4-FFF2-40B4-BE49-F238E27FC236}">
                      <a16:creationId xmlns:a16="http://schemas.microsoft.com/office/drawing/2014/main" id="{50528168-EA3F-0F97-4505-891F50C18D67}"/>
                    </a:ext>
                  </a:extLst>
                </xdr:cNvPr>
                <xdr:cNvSpPr/>
              </xdr:nvSpPr>
              <xdr:spPr>
                <a:xfrm>
                  <a:off x="2075583" y="155378"/>
                  <a:ext cx="2795178" cy="11750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fld id="{0B0A2590-8FF1-4DE1-B638-0B44D4FCA41F}" type="TxLink">
                    <a:rPr lang="en-US" sz="1100" b="0" i="0" u="none" strike="noStrike">
                      <a:solidFill>
                        <a:srgbClr val="222B35"/>
                      </a:solidFill>
                      <a:latin typeface="Calibri"/>
                      <a:ea typeface="Calibri"/>
                      <a:cs typeface="Calibri"/>
                    </a:rPr>
                    <a:pPr algn="l" rtl="0"/>
                    <a:t>Je laatste loopbaanfase; hoe ga je deze invullen? Op basis van jouw idee zie je hierbij "je route" voor de komende jaren. Een besluit genomen? Bespreek dit plan dan met je werkgever.</a:t>
                  </a:fld>
                  <a:endParaRPr lang="en-US" sz="1100">
                    <a:solidFill>
                      <a:schemeClr val="accent5">
                        <a:lumMod val="50000"/>
                      </a:schemeClr>
                    </a:solidFill>
                    <a:latin typeface="Franklin Gothic Book" panose="020B0503020102020204" pitchFamily="34" charset="0"/>
                  </a:endParaRPr>
                </a:p>
              </xdr:txBody>
            </xdr:sp>
            <xdr:sp macro="" textlink="Grafiekgegevens!D5">
              <xdr:nvSpPr>
                <xdr:cNvPr id="87" name="Rechthoek 54">
                  <a:extLst>
                    <a:ext uri="{FF2B5EF4-FFF2-40B4-BE49-F238E27FC236}">
                      <a16:creationId xmlns:a16="http://schemas.microsoft.com/office/drawing/2014/main" id="{6440DAB5-31C6-049D-355F-470B1121CC80}"/>
                    </a:ext>
                  </a:extLst>
                </xdr:cNvPr>
                <xdr:cNvSpPr/>
              </xdr:nvSpPr>
              <xdr:spPr>
                <a:xfrm>
                  <a:off x="7694983" y="464356"/>
                  <a:ext cx="2711880" cy="7662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fld id="{410CE14F-E3C1-4C89-98B6-52D8191553E5}" type="TxLink">
                    <a:rPr lang="en-US" sz="1100" b="0" i="0" u="none" strike="noStrike">
                      <a:solidFill>
                        <a:srgbClr val="222B35"/>
                      </a:solidFill>
                      <a:latin typeface="Calibri"/>
                      <a:ea typeface="Calibri"/>
                      <a:cs typeface="Calibri"/>
                    </a:rPr>
                    <a:pPr algn="l" rtl="0"/>
                    <a:t>Je LFB-verlofsaldo heb je volledig genoten.  Nu start je met het Generatiepact.</a:t>
                  </a:fld>
                  <a:endParaRPr lang="en-US" sz="1100">
                    <a:solidFill>
                      <a:schemeClr val="accent5">
                        <a:lumMod val="50000"/>
                      </a:schemeClr>
                    </a:solidFill>
                    <a:latin typeface="Franklin Gothic Book" panose="020B0503020102020204" pitchFamily="34" charset="0"/>
                  </a:endParaRPr>
                </a:p>
              </xdr:txBody>
            </xdr:sp>
            <xdr:sp macro="" textlink="Grafiekgegevens!D6">
              <xdr:nvSpPr>
                <xdr:cNvPr id="88" name="Rechthoek 55">
                  <a:extLst>
                    <a:ext uri="{FF2B5EF4-FFF2-40B4-BE49-F238E27FC236}">
                      <a16:creationId xmlns:a16="http://schemas.microsoft.com/office/drawing/2014/main" id="{4FE44FA8-7D3F-F4DB-B139-58D9E427DADD}"/>
                    </a:ext>
                  </a:extLst>
                </xdr:cNvPr>
                <xdr:cNvSpPr/>
              </xdr:nvSpPr>
              <xdr:spPr>
                <a:xfrm>
                  <a:off x="8755219" y="3410645"/>
                  <a:ext cx="2811807" cy="7448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fld id="{FC053E62-2934-4198-BACC-54941177352F}" type="TxLink">
                    <a:rPr lang="en-US" sz="1100" b="0" i="0" u="none" strike="noStrike">
                      <a:solidFill>
                        <a:srgbClr val="222B35"/>
                      </a:solidFill>
                      <a:latin typeface="Calibri"/>
                      <a:ea typeface="Calibri"/>
                      <a:cs typeface="Calibri"/>
                    </a:rPr>
                    <a:pPr algn="l" rtl="0"/>
                    <a:t>Je hebt de (verwachte) AOW-leeftijd bereikt en kan met pensioen. Het Generatiepact eindigt hier, net als je dienstverband.</a:t>
                  </a:fld>
                  <a:endParaRPr lang="en-US" sz="1100">
                    <a:solidFill>
                      <a:schemeClr val="accent5">
                        <a:lumMod val="50000"/>
                      </a:schemeClr>
                    </a:solidFill>
                    <a:latin typeface="Franklin Gothic Book" panose="020B0503020102020204" pitchFamily="34" charset="0"/>
                  </a:endParaRPr>
                </a:p>
              </xdr:txBody>
            </xdr:sp>
          </xdr:grpSp>
          <xdr:grpSp>
            <xdr:nvGrpSpPr>
              <xdr:cNvPr id="89" name="Groep 16" descr="Mijlpaalmarkeringen met datums">
                <a:extLst>
                  <a:ext uri="{FF2B5EF4-FFF2-40B4-BE49-F238E27FC236}">
                    <a16:creationId xmlns:a16="http://schemas.microsoft.com/office/drawing/2014/main" id="{EA7AE3B1-DF0C-5150-3CC2-8864140B752E}"/>
                  </a:ext>
                </a:extLst>
              </xdr:cNvPr>
              <xdr:cNvGrpSpPr/>
            </xdr:nvGrpSpPr>
            <xdr:grpSpPr>
              <a:xfrm>
                <a:off x="792235" y="375882"/>
                <a:ext cx="13471134" cy="4711868"/>
                <a:chOff x="792235" y="375882"/>
                <a:chExt cx="13471134" cy="4711868"/>
              </a:xfrm>
            </xdr:grpSpPr>
            <xdr:grpSp>
              <xdr:nvGrpSpPr>
                <xdr:cNvPr id="90" name="Groep 17" descr="Mijlpaalmarkering met datum">
                  <a:extLst>
                    <a:ext uri="{FF2B5EF4-FFF2-40B4-BE49-F238E27FC236}">
                      <a16:creationId xmlns:a16="http://schemas.microsoft.com/office/drawing/2014/main" id="{D835FBAA-1333-F509-0E3B-8D381243BE48}"/>
                    </a:ext>
                  </a:extLst>
                </xdr:cNvPr>
                <xdr:cNvGrpSpPr/>
              </xdr:nvGrpSpPr>
              <xdr:grpSpPr>
                <a:xfrm>
                  <a:off x="792235" y="768894"/>
                  <a:ext cx="986064" cy="1428314"/>
                  <a:chOff x="792235" y="768894"/>
                  <a:chExt cx="986064" cy="1428314"/>
                </a:xfrm>
              </xdr:grpSpPr>
              <xdr:grpSp>
                <xdr:nvGrpSpPr>
                  <xdr:cNvPr id="91" name="Groep 46" descr="Mijlpaaltraan">
                    <a:extLst>
                      <a:ext uri="{FF2B5EF4-FFF2-40B4-BE49-F238E27FC236}">
                        <a16:creationId xmlns:a16="http://schemas.microsoft.com/office/drawing/2014/main" id="{B776155B-02FB-5275-99EE-F9B8AA93D2CD}"/>
                      </a:ext>
                    </a:extLst>
                  </xdr:cNvPr>
                  <xdr:cNvGrpSpPr/>
                </xdr:nvGrpSpPr>
                <xdr:grpSpPr>
                  <a:xfrm>
                    <a:off x="792235" y="768894"/>
                    <a:ext cx="986064" cy="1428314"/>
                    <a:chOff x="996343" y="448154"/>
                    <a:chExt cx="986064" cy="1428314"/>
                  </a:xfrm>
                </xdr:grpSpPr>
                <xdr:grpSp>
                  <xdr:nvGrpSpPr>
                    <xdr:cNvPr id="92" name="Groep 48" descr="Mijlpaaltraan">
                      <a:extLst>
                        <a:ext uri="{FF2B5EF4-FFF2-40B4-BE49-F238E27FC236}">
                          <a16:creationId xmlns:a16="http://schemas.microsoft.com/office/drawing/2014/main" id="{67417BDD-1767-6207-4FD5-AFD524A8FDCE}"/>
                        </a:ext>
                      </a:extLst>
                    </xdr:cNvPr>
                    <xdr:cNvGrpSpPr/>
                  </xdr:nvGrpSpPr>
                  <xdr:grpSpPr>
                    <a:xfrm>
                      <a:off x="996343" y="448154"/>
                      <a:ext cx="986064" cy="1428314"/>
                      <a:chOff x="588129" y="739736"/>
                      <a:chExt cx="986064" cy="1428314"/>
                    </a:xfrm>
                  </xdr:grpSpPr>
                  <xdr:sp macro="" textlink="">
                    <xdr:nvSpPr>
                      <xdr:cNvPr id="93" name="Traan 50" descr="Traan">
                        <a:extLst>
                          <a:ext uri="{FF2B5EF4-FFF2-40B4-BE49-F238E27FC236}">
                            <a16:creationId xmlns:a16="http://schemas.microsoft.com/office/drawing/2014/main" id="{758BB233-B166-72EA-5E1F-6EA1CC55841E}"/>
                          </a:ext>
                        </a:extLst>
                      </xdr:cNvPr>
                      <xdr:cNvSpPr/>
                    </xdr:nvSpPr>
                    <xdr:spPr>
                      <a:xfrm rot="8060572">
                        <a:off x="549445" y="778420"/>
                        <a:ext cx="1063431" cy="986064"/>
                      </a:xfrm>
                      <a:prstGeom prst="teardrop">
                        <a:avLst/>
                      </a:prstGeom>
                      <a:gradFill flip="none" rotWithShape="1">
                        <a:gsLst>
                          <a:gs pos="0">
                            <a:schemeClr val="accent1">
                              <a:lumMod val="50000"/>
                            </a:schemeClr>
                          </a:gs>
                          <a:gs pos="100000">
                            <a:schemeClr val="accent1"/>
                          </a:gs>
                        </a:gsLst>
                        <a:lin ang="540000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94" name="Ovaal 51" descr="Schaduwvorm">
                        <a:extLst>
                          <a:ext uri="{FF2B5EF4-FFF2-40B4-BE49-F238E27FC236}">
                            <a16:creationId xmlns:a16="http://schemas.microsoft.com/office/drawing/2014/main" id="{19D9FB6B-F947-280D-6228-093640ED4CB0}"/>
                          </a:ext>
                        </a:extLst>
                      </xdr:cNvPr>
                      <xdr:cNvSpPr/>
                    </xdr:nvSpPr>
                    <xdr:spPr>
                      <a:xfrm>
                        <a:off x="854138" y="2041698"/>
                        <a:ext cx="457200" cy="126352"/>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sp macro="" textlink="">
                  <xdr:nvSpPr>
                    <xdr:cNvPr id="95" name="Traan 49" descr="Traan">
                      <a:extLst>
                        <a:ext uri="{FF2B5EF4-FFF2-40B4-BE49-F238E27FC236}">
                          <a16:creationId xmlns:a16="http://schemas.microsoft.com/office/drawing/2014/main" id="{B13C14D4-766C-3118-C5BE-C1DB4DD847A3}"/>
                        </a:ext>
                      </a:extLst>
                    </xdr:cNvPr>
                    <xdr:cNvSpPr/>
                  </xdr:nvSpPr>
                  <xdr:spPr>
                    <a:xfrm rot="7971563">
                      <a:off x="1057996" y="579687"/>
                      <a:ext cx="859025" cy="81748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solidFill>
                          <a:srgbClr val="FF0000"/>
                        </a:solidFill>
                      </a:endParaRPr>
                    </a:p>
                  </xdr:txBody>
                </xdr:sp>
              </xdr:grpSp>
              <xdr:sp macro="" textlink="">
                <xdr:nvSpPr>
                  <xdr:cNvPr id="512" name="Ovaal 47" descr="Mijlpaaldatum in een cirkel">
                    <a:extLst>
                      <a:ext uri="{FF2B5EF4-FFF2-40B4-BE49-F238E27FC236}">
                        <a16:creationId xmlns:a16="http://schemas.microsoft.com/office/drawing/2014/main" id="{BF987F6B-A18B-B7BD-C781-0D5136269D7F}"/>
                      </a:ext>
                    </a:extLst>
                  </xdr:cNvPr>
                  <xdr:cNvSpPr/>
                </xdr:nvSpPr>
                <xdr:spPr>
                  <a:xfrm>
                    <a:off x="806709" y="962219"/>
                    <a:ext cx="816429" cy="71323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DD742032-384D-483C-8F37-39187AA02759}" type="TxLink">
                      <a:rPr lang="en-US" sz="1200" b="0" i="0" u="none" strike="noStrike">
                        <a:solidFill>
                          <a:srgbClr val="000000"/>
                        </a:solidFill>
                        <a:latin typeface="Franklin Gothic Book" panose="020B0503020102020204" pitchFamily="34" charset="0"/>
                      </a:rPr>
                      <a:pPr algn="ctr" rtl="0"/>
                      <a:t> </a:t>
                    </a:fld>
                    <a:endParaRPr lang="en-US" sz="1200">
                      <a:solidFill>
                        <a:schemeClr val="accent5">
                          <a:lumMod val="50000"/>
                        </a:schemeClr>
                      </a:solidFill>
                      <a:latin typeface="Franklin Gothic Book" panose="020B0503020102020204" pitchFamily="34" charset="0"/>
                    </a:endParaRPr>
                  </a:p>
                </xdr:txBody>
              </xdr:sp>
            </xdr:grpSp>
            <xdr:sp macro="" textlink="Grafiekgegevens!#REF!">
              <xdr:nvSpPr>
                <xdr:cNvPr id="513" name="Ovaal 41" descr="Mijlpaaldatum in een cirkel">
                  <a:extLst>
                    <a:ext uri="{FF2B5EF4-FFF2-40B4-BE49-F238E27FC236}">
                      <a16:creationId xmlns:a16="http://schemas.microsoft.com/office/drawing/2014/main" id="{7F5B8E14-B345-5BD7-CFAD-50D07E6DB2F3}"/>
                    </a:ext>
                  </a:extLst>
                </xdr:cNvPr>
                <xdr:cNvSpPr/>
              </xdr:nvSpPr>
              <xdr:spPr>
                <a:xfrm>
                  <a:off x="5672468" y="856666"/>
                  <a:ext cx="1172390" cy="73152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0D41C4CC-73EE-4947-A701-978B0D70C3DF}" type="TxLink">
                    <a:rPr lang="en-US" sz="1100" b="0" i="0" u="none" strike="noStrike">
                      <a:solidFill>
                        <a:srgbClr val="222B35"/>
                      </a:solidFill>
                      <a:latin typeface="Calibri"/>
                      <a:cs typeface="Calibri"/>
                    </a:rPr>
                    <a:pPr algn="ctr" rtl="0"/>
                    <a:t> </a:t>
                  </a:fld>
                  <a:endParaRPr lang="en-US" sz="1300">
                    <a:solidFill>
                      <a:schemeClr val="accent5">
                        <a:lumMod val="50000"/>
                      </a:schemeClr>
                    </a:solidFill>
                    <a:latin typeface="Franklin Gothic Book" panose="020B0503020102020204" pitchFamily="34" charset="0"/>
                  </a:endParaRPr>
                </a:p>
              </xdr:txBody>
            </xdr:sp>
            <xdr:grpSp>
              <xdr:nvGrpSpPr>
                <xdr:cNvPr id="514" name="Groep 19" descr="Mijlpaalmarkering met datum">
                  <a:extLst>
                    <a:ext uri="{FF2B5EF4-FFF2-40B4-BE49-F238E27FC236}">
                      <a16:creationId xmlns:a16="http://schemas.microsoft.com/office/drawing/2014/main" id="{E2DC6EE7-9717-8383-2595-E526D776C4A5}"/>
                    </a:ext>
                  </a:extLst>
                </xdr:cNvPr>
                <xdr:cNvGrpSpPr/>
              </xdr:nvGrpSpPr>
              <xdr:grpSpPr>
                <a:xfrm>
                  <a:off x="1903206" y="375882"/>
                  <a:ext cx="5658728" cy="3362606"/>
                  <a:chOff x="1903206" y="375882"/>
                  <a:chExt cx="5658728" cy="3362606"/>
                </a:xfrm>
              </xdr:grpSpPr>
              <xdr:grpSp>
                <xdr:nvGrpSpPr>
                  <xdr:cNvPr id="515" name="Groep 34" descr="Mijlpaaltraan">
                    <a:extLst>
                      <a:ext uri="{FF2B5EF4-FFF2-40B4-BE49-F238E27FC236}">
                        <a16:creationId xmlns:a16="http://schemas.microsoft.com/office/drawing/2014/main" id="{E25A5CA8-A422-B557-DD1D-B85C2E0A3988}"/>
                      </a:ext>
                    </a:extLst>
                  </xdr:cNvPr>
                  <xdr:cNvGrpSpPr/>
                </xdr:nvGrpSpPr>
                <xdr:grpSpPr>
                  <a:xfrm>
                    <a:off x="6281774" y="375882"/>
                    <a:ext cx="1280160" cy="1848101"/>
                    <a:chOff x="5134892" y="-119810"/>
                    <a:chExt cx="1280160" cy="1848101"/>
                  </a:xfrm>
                </xdr:grpSpPr>
                <xdr:grpSp>
                  <xdr:nvGrpSpPr>
                    <xdr:cNvPr id="516" name="Groep 36" descr="Mijlpaaltraan">
                      <a:extLst>
                        <a:ext uri="{FF2B5EF4-FFF2-40B4-BE49-F238E27FC236}">
                          <a16:creationId xmlns:a16="http://schemas.microsoft.com/office/drawing/2014/main" id="{CB714630-DCBB-5A42-4E95-3A77CA9F36A9}"/>
                        </a:ext>
                      </a:extLst>
                    </xdr:cNvPr>
                    <xdr:cNvGrpSpPr/>
                  </xdr:nvGrpSpPr>
                  <xdr:grpSpPr>
                    <a:xfrm>
                      <a:off x="5134892" y="-119810"/>
                      <a:ext cx="1280160" cy="1848101"/>
                      <a:chOff x="4425710" y="288404"/>
                      <a:chExt cx="1280160" cy="1848101"/>
                    </a:xfrm>
                  </xdr:grpSpPr>
                  <xdr:sp macro="" textlink="">
                    <xdr:nvSpPr>
                      <xdr:cNvPr id="517" name="Traan 38" descr="Traan">
                        <a:extLst>
                          <a:ext uri="{FF2B5EF4-FFF2-40B4-BE49-F238E27FC236}">
                            <a16:creationId xmlns:a16="http://schemas.microsoft.com/office/drawing/2014/main" id="{F924CBC8-774F-F631-64B6-0864084726F4}"/>
                          </a:ext>
                        </a:extLst>
                      </xdr:cNvPr>
                      <xdr:cNvSpPr/>
                    </xdr:nvSpPr>
                    <xdr:spPr>
                      <a:xfrm rot="8060572">
                        <a:off x="4425709" y="288405"/>
                        <a:ext cx="1280161" cy="1280160"/>
                      </a:xfrm>
                      <a:prstGeom prst="teardrop">
                        <a:avLst/>
                      </a:prstGeom>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518" name="Ovaal 39" descr="Traan voor mijlpaaldatum">
                        <a:extLst>
                          <a:ext uri="{FF2B5EF4-FFF2-40B4-BE49-F238E27FC236}">
                            <a16:creationId xmlns:a16="http://schemas.microsoft.com/office/drawing/2014/main" id="{5F6ED691-54DC-2C76-33B2-8C1ED534B3C6}"/>
                          </a:ext>
                        </a:extLst>
                      </xdr:cNvPr>
                      <xdr:cNvSpPr/>
                    </xdr:nvSpPr>
                    <xdr:spPr>
                      <a:xfrm>
                        <a:off x="4768898" y="1935337"/>
                        <a:ext cx="640080" cy="201168"/>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sp macro="" textlink="">
                  <xdr:nvSpPr>
                    <xdr:cNvPr id="519" name="Traan 37" descr="Traan">
                      <a:extLst>
                        <a:ext uri="{FF2B5EF4-FFF2-40B4-BE49-F238E27FC236}">
                          <a16:creationId xmlns:a16="http://schemas.microsoft.com/office/drawing/2014/main" id="{B59215A1-F537-B67B-AEF7-B4098447347F}"/>
                        </a:ext>
                      </a:extLst>
                    </xdr:cNvPr>
                    <xdr:cNvSpPr/>
                  </xdr:nvSpPr>
                  <xdr:spPr>
                    <a:xfrm rot="7971563">
                      <a:off x="5216867" y="-34119"/>
                      <a:ext cx="1097280" cy="109728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r>
                        <a:rPr lang="en-US" sz="1100"/>
                        <a:t>=</a:t>
                      </a:r>
                    </a:p>
                  </xdr:txBody>
                </xdr:sp>
              </xdr:grpSp>
              <xdr:sp macro="" textlink="">
                <xdr:nvSpPr>
                  <xdr:cNvPr id="520" name="Ovaal 35" descr="Mijlpaaldatum in een cirkel">
                    <a:extLst>
                      <a:ext uri="{FF2B5EF4-FFF2-40B4-BE49-F238E27FC236}">
                        <a16:creationId xmlns:a16="http://schemas.microsoft.com/office/drawing/2014/main" id="{6FADD898-4E1E-753E-1F68-07E3B0E58EEB}"/>
                      </a:ext>
                    </a:extLst>
                  </xdr:cNvPr>
                  <xdr:cNvSpPr/>
                </xdr:nvSpPr>
                <xdr:spPr>
                  <a:xfrm>
                    <a:off x="1903206" y="2897240"/>
                    <a:ext cx="1030255" cy="84124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65E5F573-9EAB-4F74-9FEC-19122EF43B25}" type="TxLink">
                      <a:rPr lang="en-US" sz="1500" b="0" i="0" u="none" strike="noStrike">
                        <a:solidFill>
                          <a:srgbClr val="000000"/>
                        </a:solidFill>
                        <a:latin typeface="Franklin Gothic Book" panose="020B0503020102020204" pitchFamily="34" charset="0"/>
                      </a:rPr>
                      <a:pPr algn="ctr" rtl="0"/>
                      <a:t> </a:t>
                    </a:fld>
                    <a:endParaRPr lang="en-US" sz="1500">
                      <a:solidFill>
                        <a:schemeClr val="accent5">
                          <a:lumMod val="50000"/>
                        </a:schemeClr>
                      </a:solidFill>
                      <a:latin typeface="Franklin Gothic Book" panose="020B0503020102020204" pitchFamily="34" charset="0"/>
                    </a:endParaRPr>
                  </a:p>
                </xdr:txBody>
              </xdr:sp>
            </xdr:grpSp>
            <xdr:grpSp>
              <xdr:nvGrpSpPr>
                <xdr:cNvPr id="521" name="Groep 20" descr="Mijlpaalmarkering met datum">
                  <a:extLst>
                    <a:ext uri="{FF2B5EF4-FFF2-40B4-BE49-F238E27FC236}">
                      <a16:creationId xmlns:a16="http://schemas.microsoft.com/office/drawing/2014/main" id="{4E86A0FB-C6FF-FA6B-CC21-5B556415AB45}"/>
                    </a:ext>
                  </a:extLst>
                </xdr:cNvPr>
                <xdr:cNvGrpSpPr/>
              </xdr:nvGrpSpPr>
              <xdr:grpSpPr>
                <a:xfrm>
                  <a:off x="6829985" y="3226914"/>
                  <a:ext cx="1679262" cy="1280160"/>
                  <a:chOff x="6829985" y="3226914"/>
                  <a:chExt cx="1679262" cy="1280160"/>
                </a:xfrm>
              </xdr:grpSpPr>
              <xdr:grpSp>
                <xdr:nvGrpSpPr>
                  <xdr:cNvPr id="522" name="Groep 28" descr="Mijlpaaltraan">
                    <a:extLst>
                      <a:ext uri="{FF2B5EF4-FFF2-40B4-BE49-F238E27FC236}">
                        <a16:creationId xmlns:a16="http://schemas.microsoft.com/office/drawing/2014/main" id="{774B737C-3F86-CD55-7C7E-373BCACCB662}"/>
                      </a:ext>
                    </a:extLst>
                  </xdr:cNvPr>
                  <xdr:cNvGrpSpPr/>
                </xdr:nvGrpSpPr>
                <xdr:grpSpPr>
                  <a:xfrm>
                    <a:off x="7030679" y="3226914"/>
                    <a:ext cx="1280160" cy="1280160"/>
                    <a:chOff x="6350323" y="3100560"/>
                    <a:chExt cx="1280160" cy="1280160"/>
                  </a:xfrm>
                </xdr:grpSpPr>
                <xdr:sp macro="" textlink="">
                  <xdr:nvSpPr>
                    <xdr:cNvPr id="523" name="Traan 32" descr="Traan">
                      <a:extLst>
                        <a:ext uri="{FF2B5EF4-FFF2-40B4-BE49-F238E27FC236}">
                          <a16:creationId xmlns:a16="http://schemas.microsoft.com/office/drawing/2014/main" id="{555B03D4-8515-5FE3-6E43-E66830081F0D}"/>
                        </a:ext>
                      </a:extLst>
                    </xdr:cNvPr>
                    <xdr:cNvSpPr/>
                  </xdr:nvSpPr>
                  <xdr:spPr>
                    <a:xfrm rot="8060572">
                      <a:off x="6350323" y="3100560"/>
                      <a:ext cx="1280160" cy="1280160"/>
                    </a:xfrm>
                    <a:prstGeom prst="teardrop">
                      <a:avLst/>
                    </a:prstGeom>
                    <a:gradFill>
                      <a:gsLst>
                        <a:gs pos="0">
                          <a:schemeClr val="accent4">
                            <a:lumMod val="75000"/>
                          </a:schemeClr>
                        </a:gs>
                        <a:gs pos="100000">
                          <a:schemeClr val="accent4"/>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t"/>
                    <a:lstStyle/>
                    <a:p>
                      <a:pPr algn="l" rtl="0"/>
                      <a:endParaRPr lang="en-US" sz="1100"/>
                    </a:p>
                  </xdr:txBody>
                </xdr:sp>
                <xdr:sp macro="" textlink="">
                  <xdr:nvSpPr>
                    <xdr:cNvPr id="524" name="Traan 31" descr="Mijlpaaltraan">
                      <a:extLst>
                        <a:ext uri="{FF2B5EF4-FFF2-40B4-BE49-F238E27FC236}">
                          <a16:creationId xmlns:a16="http://schemas.microsoft.com/office/drawing/2014/main" id="{7D5CDB67-F413-800A-474C-511836DBECEF}"/>
                        </a:ext>
                      </a:extLst>
                    </xdr:cNvPr>
                    <xdr:cNvSpPr/>
                  </xdr:nvSpPr>
                  <xdr:spPr>
                    <a:xfrm rot="7971563">
                      <a:off x="6441767" y="3185215"/>
                      <a:ext cx="1097281" cy="109728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r>
                        <a:rPr lang="en-US" sz="1100"/>
                        <a:t>1-3-1938</a:t>
                      </a:r>
                    </a:p>
                  </xdr:txBody>
                </xdr:sp>
              </xdr:grpSp>
              <xdr:sp macro="" textlink="Grafiekgegevens!$B$6">
                <xdr:nvSpPr>
                  <xdr:cNvPr id="525" name="Ovaal 29" descr="Mijlpaaldatum in een cirkel">
                    <a:extLst>
                      <a:ext uri="{FF2B5EF4-FFF2-40B4-BE49-F238E27FC236}">
                        <a16:creationId xmlns:a16="http://schemas.microsoft.com/office/drawing/2014/main" id="{45FB7EA2-C4A5-63F7-9211-5B67F0194A32}"/>
                      </a:ext>
                    </a:extLst>
                  </xdr:cNvPr>
                  <xdr:cNvSpPr/>
                </xdr:nvSpPr>
                <xdr:spPr>
                  <a:xfrm>
                    <a:off x="6829985" y="3467248"/>
                    <a:ext cx="1679262" cy="84519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FC5B9C0E-58D8-41AA-881D-0BFB1A1E68C0}" type="TxLink">
                      <a:rPr lang="en-US" sz="1100" b="0" i="0" u="none" strike="noStrike">
                        <a:solidFill>
                          <a:srgbClr val="000000"/>
                        </a:solidFill>
                        <a:latin typeface="Calibri"/>
                        <a:ea typeface="Calibri"/>
                        <a:cs typeface="Calibri"/>
                      </a:rPr>
                      <a:pPr algn="ctr" rtl="0"/>
                      <a:t> </a:t>
                    </a:fld>
                    <a:endParaRPr lang="en-US" sz="1500">
                      <a:solidFill>
                        <a:schemeClr val="accent5">
                          <a:lumMod val="50000"/>
                        </a:schemeClr>
                      </a:solidFill>
                      <a:latin typeface="Franklin Gothic Book" panose="020B0503020102020204" pitchFamily="34" charset="0"/>
                    </a:endParaRPr>
                  </a:p>
                </xdr:txBody>
              </xdr:sp>
            </xdr:grpSp>
            <xdr:grpSp>
              <xdr:nvGrpSpPr>
                <xdr:cNvPr id="526" name="Groep 21" descr="Mijlpaalmarkering met datum">
                  <a:extLst>
                    <a:ext uri="{FF2B5EF4-FFF2-40B4-BE49-F238E27FC236}">
                      <a16:creationId xmlns:a16="http://schemas.microsoft.com/office/drawing/2014/main" id="{783EF2FE-E5B5-2E9C-B686-192441F1F497}"/>
                    </a:ext>
                  </a:extLst>
                </xdr:cNvPr>
                <xdr:cNvGrpSpPr/>
              </xdr:nvGrpSpPr>
              <xdr:grpSpPr>
                <a:xfrm>
                  <a:off x="6327322" y="2533949"/>
                  <a:ext cx="7936047" cy="2553801"/>
                  <a:chOff x="8067093" y="2533949"/>
                  <a:chExt cx="7936047" cy="2553801"/>
                </a:xfrm>
              </xdr:grpSpPr>
              <xdr:grpSp>
                <xdr:nvGrpSpPr>
                  <xdr:cNvPr id="527" name="Groep 22">
                    <a:extLst>
                      <a:ext uri="{FF2B5EF4-FFF2-40B4-BE49-F238E27FC236}">
                        <a16:creationId xmlns:a16="http://schemas.microsoft.com/office/drawing/2014/main" id="{1E4F4ECC-6986-279D-AA6C-D16886557498}"/>
                      </a:ext>
                    </a:extLst>
                  </xdr:cNvPr>
                  <xdr:cNvGrpSpPr/>
                </xdr:nvGrpSpPr>
                <xdr:grpSpPr>
                  <a:xfrm>
                    <a:off x="9001476" y="2533949"/>
                    <a:ext cx="7001664" cy="2553801"/>
                    <a:chOff x="8787656" y="2261805"/>
                    <a:chExt cx="7001664" cy="2553801"/>
                  </a:xfrm>
                </xdr:grpSpPr>
                <xdr:sp macro="" textlink="">
                  <xdr:nvSpPr>
                    <xdr:cNvPr id="528" name="Ovaal 27" descr="Schaduwvorm">
                      <a:extLst>
                        <a:ext uri="{FF2B5EF4-FFF2-40B4-BE49-F238E27FC236}">
                          <a16:creationId xmlns:a16="http://schemas.microsoft.com/office/drawing/2014/main" id="{20EBFF74-018C-9C5C-8C69-B0ACDE072A0E}"/>
                        </a:ext>
                      </a:extLst>
                    </xdr:cNvPr>
                    <xdr:cNvSpPr/>
                  </xdr:nvSpPr>
                  <xdr:spPr>
                    <a:xfrm>
                      <a:off x="8787656" y="4587006"/>
                      <a:ext cx="914400" cy="228600"/>
                    </a:xfrm>
                    <a:prstGeom prst="ellipse">
                      <a:avLst/>
                    </a:prstGeom>
                    <a:gradFill flip="none" rotWithShape="1">
                      <a:gsLst>
                        <a:gs pos="0">
                          <a:schemeClr val="bg1">
                            <a:lumMod val="50000"/>
                          </a:schemeClr>
                        </a:gs>
                        <a:gs pos="100000">
                          <a:schemeClr val="tx1">
                            <a:lumMod val="65000"/>
                            <a:lumOff val="35000"/>
                          </a:schemeClr>
                        </a:gs>
                      </a:gsLst>
                      <a:lin ang="10800000" scaled="1"/>
                      <a:tileRect/>
                    </a:gradFill>
                    <a:ln>
                      <a:noFill/>
                    </a:ln>
                    <a:scene3d>
                      <a:camera prst="perspectiveRelaxed"/>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sp macro="" textlink="">
                  <xdr:nvSpPr>
                    <xdr:cNvPr id="529" name="Traan 25" descr="Traan">
                      <a:extLst>
                        <a:ext uri="{FF2B5EF4-FFF2-40B4-BE49-F238E27FC236}">
                          <a16:creationId xmlns:a16="http://schemas.microsoft.com/office/drawing/2014/main" id="{EA05754D-A9CB-BB43-C0BD-647CC326F356}"/>
                        </a:ext>
                      </a:extLst>
                    </xdr:cNvPr>
                    <xdr:cNvSpPr/>
                  </xdr:nvSpPr>
                  <xdr:spPr>
                    <a:xfrm rot="7971563">
                      <a:off x="14509160" y="2261805"/>
                      <a:ext cx="1280160" cy="1280160"/>
                    </a:xfrm>
                    <a:prstGeom prst="teardrop">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sp macro="" textlink="">
                <xdr:nvSpPr>
                  <xdr:cNvPr id="530" name="Ovaal 23" descr="Mijlpaaldatum in een cirkel">
                    <a:extLst>
                      <a:ext uri="{FF2B5EF4-FFF2-40B4-BE49-F238E27FC236}">
                        <a16:creationId xmlns:a16="http://schemas.microsoft.com/office/drawing/2014/main" id="{B06EE79A-9FC2-2550-2B1A-C08DA3BF7753}"/>
                      </a:ext>
                    </a:extLst>
                  </xdr:cNvPr>
                  <xdr:cNvSpPr/>
                </xdr:nvSpPr>
                <xdr:spPr>
                  <a:xfrm>
                    <a:off x="8067093" y="3217119"/>
                    <a:ext cx="1292678" cy="93268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BFD08584-B24F-40F3-967B-1BCB7FF6D022}" type="TxLink">
                      <a:rPr lang="en-US" sz="1800" b="0" i="0" u="none" strike="noStrike">
                        <a:solidFill>
                          <a:srgbClr val="000000"/>
                        </a:solidFill>
                        <a:latin typeface="Franklin Gothic Book" panose="020B0503020102020204" pitchFamily="34" charset="0"/>
                      </a:rPr>
                      <a:pPr algn="ctr" rtl="0"/>
                      <a:t> </a:t>
                    </a:fld>
                    <a:endParaRPr lang="en-US" sz="1800">
                      <a:solidFill>
                        <a:schemeClr val="accent5">
                          <a:lumMod val="50000"/>
                        </a:schemeClr>
                      </a:solidFill>
                      <a:latin typeface="Franklin Gothic Book" panose="020B0503020102020204" pitchFamily="34" charset="0"/>
                    </a:endParaRPr>
                  </a:p>
                </xdr:txBody>
              </xdr:sp>
            </xdr:grpSp>
          </xdr:grpSp>
        </xdr:grpSp>
        <xdr:grpSp>
          <xdr:nvGrpSpPr>
            <xdr:cNvPr id="531" name="Groep 10" descr="Infographic-grafiek met mijlpaalbeschrijvingen grenzend aan mijlpaaldatums in druppelvormen. Een ronde lijn met een pijl die naar rechts wijst, illustreert de richting van de tijdlijn. Het huidige jaar voor de mijlpalen volgt het pad.">
              <a:extLst>
                <a:ext uri="{FF2B5EF4-FFF2-40B4-BE49-F238E27FC236}">
                  <a16:creationId xmlns:a16="http://schemas.microsoft.com/office/drawing/2014/main" id="{82DB7612-13F7-FB92-0AD2-5434ABF88618}"/>
                </a:ext>
              </a:extLst>
            </xdr:cNvPr>
            <xdr:cNvGrpSpPr/>
          </xdr:nvGrpSpPr>
          <xdr:grpSpPr>
            <a:xfrm>
              <a:off x="349898" y="2060511"/>
              <a:ext cx="13524490" cy="3202582"/>
              <a:chOff x="349898" y="2060511"/>
              <a:chExt cx="13524490" cy="3202582"/>
            </a:xfrm>
          </xdr:grpSpPr>
          <xdr:sp macro="" textlink="">
            <xdr:nvSpPr>
              <xdr:cNvPr id="532" name="Rechthoek 11" descr="Mijlpaaljaren verspreid langs het tijdlijnpad">
                <a:extLst>
                  <a:ext uri="{FF2B5EF4-FFF2-40B4-BE49-F238E27FC236}">
                    <a16:creationId xmlns:a16="http://schemas.microsoft.com/office/drawing/2014/main" id="{F8F1AB99-5EEC-62C5-221F-38238073D530}"/>
                  </a:ext>
                </a:extLst>
              </xdr:cNvPr>
              <xdr:cNvSpPr/>
            </xdr:nvSpPr>
            <xdr:spPr>
              <a:xfrm>
                <a:off x="349898" y="2060511"/>
                <a:ext cx="699796" cy="311382"/>
              </a:xfrm>
              <a:prstGeom prst="rect">
                <a:avLst/>
              </a:prstGeom>
              <a:noFill/>
              <a:ln>
                <a:noFill/>
              </a:ln>
              <a:effectLst>
                <a:reflection blurRad="6350" stA="52000" endA="300" endPos="350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0"/>
                <a:fld id="{D9E6A135-3514-4822-96FC-28784FBC8805}" type="TxLink">
                  <a:rPr lang="en-US" sz="1400" b="0" i="0" u="none" strike="noStrike">
                    <a:solidFill>
                      <a:schemeClr val="accent5">
                        <a:lumMod val="50000"/>
                      </a:schemeClr>
                    </a:solidFill>
                    <a:effectLst/>
                    <a:latin typeface="Franklin Gothic Book" panose="020B0503020102020204" pitchFamily="34" charset="0"/>
                  </a:rPr>
                  <a:pPr algn="r" rtl="0"/>
                  <a:t> </a:t>
                </a:fld>
                <a:endParaRPr lang="en-US" sz="1400">
                  <a:solidFill>
                    <a:schemeClr val="accent5">
                      <a:lumMod val="50000"/>
                    </a:schemeClr>
                  </a:solidFill>
                  <a:effectLst/>
                  <a:latin typeface="Franklin Gothic Book" panose="020B0503020102020204" pitchFamily="34" charset="0"/>
                </a:endParaRPr>
              </a:p>
            </xdr:txBody>
          </xdr:sp>
          <xdr:sp macro="" textlink="">
            <xdr:nvSpPr>
              <xdr:cNvPr id="533" name="Rechthoek 12" descr="Mijlpaaljaren verspreid langs het tijdlijnpad">
                <a:extLst>
                  <a:ext uri="{FF2B5EF4-FFF2-40B4-BE49-F238E27FC236}">
                    <a16:creationId xmlns:a16="http://schemas.microsoft.com/office/drawing/2014/main" id="{D774805E-9E9B-67B0-D4C4-2FF4BA0D631C}"/>
                  </a:ext>
                </a:extLst>
              </xdr:cNvPr>
              <xdr:cNvSpPr/>
            </xdr:nvSpPr>
            <xdr:spPr>
              <a:xfrm>
                <a:off x="13044732" y="4903477"/>
                <a:ext cx="829656" cy="359616"/>
              </a:xfrm>
              <a:prstGeom prst="rect">
                <a:avLst/>
              </a:prstGeom>
              <a:noFill/>
              <a:ln>
                <a:noFill/>
              </a:ln>
              <a:effectLst>
                <a:reflection blurRad="6350" stA="52000" endA="300" endPos="35000" dir="5400000" sy="-100000" algn="bl" rotWithShape="0"/>
              </a:effectLst>
              <a:scene3d>
                <a:camera prst="perspectiveRelaxed">
                  <a:rot lat="19173601"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0"/>
                <a:fld id="{8FAAFC00-3F4F-4796-A521-DA3036FA27A6}" type="TxLink">
                  <a:rPr lang="en-US" sz="1600" b="0" i="0" u="none" strike="noStrike">
                    <a:solidFill>
                      <a:srgbClr val="FF0000"/>
                    </a:solidFill>
                    <a:latin typeface="Franklin Gothic Book" panose="020B0503020102020204" pitchFamily="34" charset="0"/>
                  </a:rPr>
                  <a:pPr algn="r" rtl="0"/>
                  <a:t> </a:t>
                </a:fld>
                <a:endParaRPr lang="en-US" sz="1600">
                  <a:solidFill>
                    <a:srgbClr val="FF0000"/>
                  </a:solidFill>
                  <a:latin typeface="Franklin Gothic Book" panose="020B0503020102020204" pitchFamily="34" charset="0"/>
                </a:endParaRPr>
              </a:p>
            </xdr:txBody>
          </xdr:sp>
        </xdr:grpSp>
      </xdr:grpSp>
      <xdr:grpSp>
        <xdr:nvGrpSpPr>
          <xdr:cNvPr id="534" name="Groep 3" descr="Mijlpaaltitel">
            <a:extLst>
              <a:ext uri="{FF2B5EF4-FFF2-40B4-BE49-F238E27FC236}">
                <a16:creationId xmlns:a16="http://schemas.microsoft.com/office/drawing/2014/main" id="{3270B425-C118-3688-CC96-CF95F735E62D}"/>
              </a:ext>
            </a:extLst>
          </xdr:cNvPr>
          <xdr:cNvGrpSpPr/>
        </xdr:nvGrpSpPr>
        <xdr:grpSpPr>
          <a:xfrm>
            <a:off x="508363" y="194206"/>
            <a:ext cx="13741822" cy="3914478"/>
            <a:chOff x="508363" y="194206"/>
            <a:chExt cx="13741822" cy="3914478"/>
          </a:xfrm>
        </xdr:grpSpPr>
        <xdr:sp macro="" textlink="Grafiekgegevens!C4">
          <xdr:nvSpPr>
            <xdr:cNvPr id="535" name="Tekstvak 4" descr="Mijlpaaltitel">
              <a:extLst>
                <a:ext uri="{FF2B5EF4-FFF2-40B4-BE49-F238E27FC236}">
                  <a16:creationId xmlns:a16="http://schemas.microsoft.com/office/drawing/2014/main" id="{B26539D3-CAC7-A725-C419-90A0C76FB9A2}"/>
                </a:ext>
              </a:extLst>
            </xdr:cNvPr>
            <xdr:cNvSpPr txBox="1"/>
          </xdr:nvSpPr>
          <xdr:spPr>
            <a:xfrm>
              <a:off x="508363" y="615815"/>
              <a:ext cx="1504280" cy="952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spcFirstLastPara="1" vertOverflow="clip" horzOverflow="clip" wrap="square" numCol="1" rtlCol="0" anchor="ctr">
              <a:prstTxWarp prst="textArchUp">
                <a:avLst/>
              </a:prstTxWarp>
            </a:bodyPr>
            <a:lstStyle/>
            <a:p>
              <a:pPr marL="0" indent="0" algn="ctr" rtl="0"/>
              <a:fld id="{5F0BF9EA-B872-42AB-9100-4A19569C11B9}" type="TxLink">
                <a:rPr lang="en-US" sz="1200" b="0" i="0" u="none" strike="noStrike">
                  <a:solidFill>
                    <a:srgbClr val="000000"/>
                  </a:solidFill>
                  <a:latin typeface="Franklin Gothic Medium" panose="020B0603020102020204" pitchFamily="34" charset="0"/>
                  <a:ea typeface="+mn-ea"/>
                  <a:cs typeface="Courier New" panose="02070309020205020404" pitchFamily="49" charset="0"/>
                </a:rPr>
                <a:pPr marL="0" indent="0" algn="ctr" rtl="0"/>
                <a:t>Nu</a:t>
              </a:fld>
              <a:endParaRPr lang="en-US" sz="1200" b="0" i="0" u="none" strike="noStrike">
                <a:solidFill>
                  <a:srgbClr val="000000"/>
                </a:solidFill>
                <a:latin typeface="Franklin Gothic Medium" panose="020B0603020102020204" pitchFamily="34" charset="0"/>
                <a:ea typeface="+mn-ea"/>
                <a:cs typeface="Courier New" panose="02070309020205020404" pitchFamily="49" charset="0"/>
              </a:endParaRPr>
            </a:p>
          </xdr:txBody>
        </xdr:sp>
        <xdr:sp macro="" textlink="">
          <xdr:nvSpPr>
            <xdr:cNvPr id="536" name="Tekstvak 5" descr="Mijlpaaltitel">
              <a:extLst>
                <a:ext uri="{FF2B5EF4-FFF2-40B4-BE49-F238E27FC236}">
                  <a16:creationId xmlns:a16="http://schemas.microsoft.com/office/drawing/2014/main" id="{7A276A31-59E0-47D4-3B11-4AE7147C08EB}"/>
                </a:ext>
              </a:extLst>
            </xdr:cNvPr>
            <xdr:cNvSpPr txBox="1"/>
          </xdr:nvSpPr>
          <xdr:spPr>
            <a:xfrm>
              <a:off x="5649390" y="550348"/>
              <a:ext cx="1237472" cy="52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Up">
                <a:avLst/>
              </a:prstTxWarp>
            </a:bodyPr>
            <a:lstStyle/>
            <a:p>
              <a:pPr algn="ctr" rtl="0"/>
              <a:fld id="{842BC34D-3FD1-4690-BA55-171575CE5DBD}" type="TxLink">
                <a:rPr lang="en-US" sz="1200" b="0" i="0" u="none" strike="noStrike">
                  <a:solidFill>
                    <a:srgbClr val="000000"/>
                  </a:solidFill>
                  <a:latin typeface="Franklin Gothic Medium" panose="020B0603020102020204" pitchFamily="34" charset="0"/>
                  <a:cs typeface="Courier New" panose="02070309020205020404" pitchFamily="49" charset="0"/>
                </a:rPr>
                <a:pPr algn="ctr" rtl="0"/>
                <a:t> </a:t>
              </a:fld>
              <a:endParaRPr lang="en-US" sz="1200">
                <a:solidFill>
                  <a:schemeClr val="accent5">
                    <a:lumMod val="50000"/>
                  </a:schemeClr>
                </a:solidFill>
                <a:latin typeface="Franklin Gothic Medium" panose="020B0603020102020204" pitchFamily="34" charset="0"/>
                <a:cs typeface="Courier New" panose="02070309020205020404" pitchFamily="49" charset="0"/>
              </a:endParaRPr>
            </a:p>
          </xdr:txBody>
        </xdr:sp>
        <xdr:sp macro="" textlink="Grafiekgegevens!C6">
          <xdr:nvSpPr>
            <xdr:cNvPr id="537" name="Tekstvak 7" descr="Mijlpaaltitel">
              <a:extLst>
                <a:ext uri="{FF2B5EF4-FFF2-40B4-BE49-F238E27FC236}">
                  <a16:creationId xmlns:a16="http://schemas.microsoft.com/office/drawing/2014/main" id="{CC339479-4D3D-8BE0-9717-75B54DC7FD4B}"/>
                </a:ext>
              </a:extLst>
            </xdr:cNvPr>
            <xdr:cNvSpPr txBox="1"/>
          </xdr:nvSpPr>
          <xdr:spPr>
            <a:xfrm>
              <a:off x="7006074" y="3018435"/>
              <a:ext cx="1301441" cy="109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spcFirstLastPara="1" vertOverflow="clip" horzOverflow="clip" wrap="square" numCol="1" rtlCol="0" anchor="ctr">
              <a:prstTxWarp prst="textArchUp">
                <a:avLst>
                  <a:gd name="adj" fmla="val 11023152"/>
                </a:avLst>
              </a:prstTxWarp>
            </a:bodyPr>
            <a:lstStyle/>
            <a:p>
              <a:pPr marL="0" indent="0" algn="ctr" rtl="0"/>
              <a:fld id="{BADB0BC1-5745-4DDA-A341-585C6044A826}" type="TxLink">
                <a:rPr lang="en-US" sz="1200" b="0" i="0" u="none" strike="noStrike">
                  <a:solidFill>
                    <a:srgbClr val="000000"/>
                  </a:solidFill>
                  <a:latin typeface="Franklin Gothic Medium" panose="020B0603020102020204" pitchFamily="34" charset="0"/>
                  <a:ea typeface="+mn-ea"/>
                  <a:cs typeface="Courier New" panose="02070309020205020404" pitchFamily="49" charset="0"/>
                </a:rPr>
                <a:pPr marL="0" indent="0" algn="ctr" rtl="0"/>
                <a:t>Pensioendatum</a:t>
              </a:fld>
              <a:endParaRPr lang="en-US" sz="1200" b="0" i="0" u="none" strike="noStrike">
                <a:solidFill>
                  <a:srgbClr val="000000"/>
                </a:solidFill>
                <a:latin typeface="Franklin Gothic Medium" panose="020B0603020102020204" pitchFamily="34" charset="0"/>
                <a:ea typeface="+mn-ea"/>
                <a:cs typeface="Courier New" panose="02070309020205020404" pitchFamily="49" charset="0"/>
              </a:endParaRPr>
            </a:p>
          </xdr:txBody>
        </xdr:sp>
        <xdr:sp macro="" textlink="Grafiekgegevens!O28">
          <xdr:nvSpPr>
            <xdr:cNvPr id="538" name="Tekstvak 8" descr="Mijlpaaltitel">
              <a:extLst>
                <a:ext uri="{FF2B5EF4-FFF2-40B4-BE49-F238E27FC236}">
                  <a16:creationId xmlns:a16="http://schemas.microsoft.com/office/drawing/2014/main" id="{58660910-CFB4-7B3A-D23B-2106F1D6A6E9}"/>
                </a:ext>
              </a:extLst>
            </xdr:cNvPr>
            <xdr:cNvSpPr txBox="1"/>
          </xdr:nvSpPr>
          <xdr:spPr>
            <a:xfrm>
              <a:off x="13015822" y="2311309"/>
              <a:ext cx="1234363" cy="1078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spcFirstLastPara="1" vertOverflow="clip" horzOverflow="clip" wrap="square" numCol="1" rtlCol="0" anchor="ctr">
              <a:prstTxWarp prst="textArchUp">
                <a:avLst/>
              </a:prstTxWarp>
            </a:bodyPr>
            <a:lstStyle/>
            <a:p>
              <a:pPr marL="0" indent="0" algn="ctr" rtl="0"/>
              <a:fld id="{EE43033E-5BDA-4DF5-954E-154CBBAEAAFE}" type="TxLink">
                <a:rPr lang="en-US" sz="1200" b="0" i="0" u="none" strike="noStrike">
                  <a:solidFill>
                    <a:srgbClr val="000000"/>
                  </a:solidFill>
                  <a:latin typeface="Franklin Gothic Medium" panose="020B0603020102020204" pitchFamily="34" charset="0"/>
                  <a:ea typeface="+mn-ea"/>
                  <a:cs typeface="Courier New" panose="02070309020205020404" pitchFamily="49" charset="0"/>
                </a:rPr>
                <a:pPr marL="0" indent="0" algn="ctr" rtl="0"/>
                <a:t> </a:t>
              </a:fld>
              <a:endParaRPr lang="en-US" sz="1200" b="0" i="0" u="none" strike="noStrike">
                <a:solidFill>
                  <a:srgbClr val="000000"/>
                </a:solidFill>
                <a:latin typeface="Franklin Gothic Medium" panose="020B0603020102020204" pitchFamily="34" charset="0"/>
                <a:ea typeface="+mn-ea"/>
                <a:cs typeface="Courier New" panose="02070309020205020404" pitchFamily="49" charset="0"/>
              </a:endParaRPr>
            </a:p>
          </xdr:txBody>
        </xdr:sp>
        <xdr:sp macro="" textlink="Grafiekgegevens!C5">
          <xdr:nvSpPr>
            <xdr:cNvPr id="539" name="Tekstvak 6" descr="Mijlpaaltitel">
              <a:extLst>
                <a:ext uri="{FF2B5EF4-FFF2-40B4-BE49-F238E27FC236}">
                  <a16:creationId xmlns:a16="http://schemas.microsoft.com/office/drawing/2014/main" id="{4B2FD1D0-56FD-81A8-8568-C3DDE44CAB8F}"/>
                </a:ext>
              </a:extLst>
            </xdr:cNvPr>
            <xdr:cNvSpPr txBox="1"/>
          </xdr:nvSpPr>
          <xdr:spPr>
            <a:xfrm>
              <a:off x="6314886" y="194206"/>
              <a:ext cx="1234363" cy="867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spcFirstLastPara="1" vertOverflow="clip" horzOverflow="clip" wrap="square" numCol="1" rtlCol="0" anchor="ctr">
              <a:prstTxWarp prst="textArchUp">
                <a:avLst>
                  <a:gd name="adj" fmla="val 12733051"/>
                </a:avLst>
              </a:prstTxWarp>
            </a:bodyPr>
            <a:lstStyle/>
            <a:p>
              <a:pPr marL="0" indent="0" algn="ctr" rtl="0"/>
              <a:fld id="{1DBB8B0C-28F3-4A79-8269-2AFA21ABC4BC}" type="TxLink">
                <a:rPr lang="en-US" sz="1200" b="0" i="0" u="none" strike="noStrike">
                  <a:solidFill>
                    <a:sysClr val="windowText" lastClr="000000"/>
                  </a:solidFill>
                  <a:latin typeface="Franklin Gothic Medium" panose="020B0603020102020204" pitchFamily="34" charset="0"/>
                  <a:ea typeface="+mn-ea"/>
                  <a:cs typeface="Courier New" panose="02070309020205020404" pitchFamily="49" charset="0"/>
                </a:rPr>
                <a:pPr marL="0" indent="0" algn="ctr" rtl="0"/>
                <a:t>Start regeling</a:t>
              </a:fld>
              <a:endParaRPr lang="en-US" sz="1200" b="0" i="0" u="none" strike="noStrike">
                <a:solidFill>
                  <a:sysClr val="windowText" lastClr="000000"/>
                </a:solidFill>
                <a:latin typeface="Franklin Gothic Medium" panose="020B0603020102020204" pitchFamily="34" charset="0"/>
                <a:ea typeface="+mn-ea"/>
                <a:cs typeface="Courier New" panose="02070309020205020404" pitchFamily="49" charset="0"/>
              </a:endParaRPr>
            </a:p>
          </xdr:txBody>
        </xdr:sp>
      </xdr:grpSp>
    </xdr:grpSp>
    <xdr:clientData/>
  </xdr:twoCellAnchor>
  <xdr:oneCellAnchor>
    <xdr:from>
      <xdr:col>10</xdr:col>
      <xdr:colOff>600074</xdr:colOff>
      <xdr:row>7</xdr:row>
      <xdr:rowOff>163266</xdr:rowOff>
    </xdr:from>
    <xdr:ext cx="1175385" cy="264560"/>
    <xdr:sp macro="" textlink="Grafiekgegevens!B5">
      <xdr:nvSpPr>
        <xdr:cNvPr id="16" name="Tekstvak 66">
          <a:extLst>
            <a:ext uri="{FF2B5EF4-FFF2-40B4-BE49-F238E27FC236}">
              <a16:creationId xmlns:a16="http://schemas.microsoft.com/office/drawing/2014/main" id="{864489F8-6087-5171-697B-4C5846BEB8FE}"/>
            </a:ext>
          </a:extLst>
        </xdr:cNvPr>
        <xdr:cNvSpPr txBox="1"/>
      </xdr:nvSpPr>
      <xdr:spPr>
        <a:xfrm>
          <a:off x="6696074" y="1430091"/>
          <a:ext cx="11753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31DE3626-342E-4322-BEF1-77BE87BFD40E}" type="TxLink">
            <a:rPr lang="en-US" sz="1100" b="0" i="0" u="none" strike="noStrike">
              <a:solidFill>
                <a:srgbClr val="222B35"/>
              </a:solidFill>
              <a:latin typeface="Calibri"/>
              <a:cs typeface="Calibri"/>
            </a:rPr>
            <a:pPr algn="ctr"/>
            <a:t> </a:t>
          </a:fld>
          <a:endParaRPr lang="nl-NL" sz="1100"/>
        </a:p>
      </xdr:txBody>
    </xdr:sp>
    <xdr:clientData/>
  </xdr:oneCellAnchor>
  <xdr:oneCellAnchor>
    <xdr:from>
      <xdr:col>1</xdr:col>
      <xdr:colOff>586741</xdr:colOff>
      <xdr:row>9</xdr:row>
      <xdr:rowOff>53341</xdr:rowOff>
    </xdr:from>
    <xdr:ext cx="700063" cy="264560"/>
    <xdr:sp macro="" textlink="Grafiekgegevens!B4">
      <xdr:nvSpPr>
        <xdr:cNvPr id="69" name="Tekstvak 68">
          <a:extLst>
            <a:ext uri="{FF2B5EF4-FFF2-40B4-BE49-F238E27FC236}">
              <a16:creationId xmlns:a16="http://schemas.microsoft.com/office/drawing/2014/main" id="{D3D48916-3610-476F-BFEC-C5CC7DF9450E}"/>
            </a:ext>
          </a:extLst>
        </xdr:cNvPr>
        <xdr:cNvSpPr txBox="1"/>
      </xdr:nvSpPr>
      <xdr:spPr>
        <a:xfrm>
          <a:off x="1196341" y="1682116"/>
          <a:ext cx="7000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CF1D247-0A8E-42F6-AD05-439BD656E61F}" type="TxLink">
            <a:rPr lang="en-US" sz="1100" b="0" i="0" u="none" strike="noStrike">
              <a:solidFill>
                <a:srgbClr val="000000"/>
              </a:solidFill>
              <a:latin typeface="Calibri"/>
              <a:cs typeface="Calibri"/>
            </a:rPr>
            <a:pPr/>
            <a:t>31-8-2023</a:t>
          </a:fld>
          <a:endParaRPr lang="nl-NL" sz="1100"/>
        </a:p>
      </xdr:txBody>
    </xdr:sp>
    <xdr:clientData/>
  </xdr:oneCellAnchor>
  <xdr:twoCellAnchor>
    <xdr:from>
      <xdr:col>0</xdr:col>
      <xdr:colOff>371475</xdr:colOff>
      <xdr:row>1</xdr:row>
      <xdr:rowOff>144780</xdr:rowOff>
    </xdr:from>
    <xdr:to>
      <xdr:col>2</xdr:col>
      <xdr:colOff>180975</xdr:colOff>
      <xdr:row>4</xdr:row>
      <xdr:rowOff>17145</xdr:rowOff>
    </xdr:to>
    <xdr:sp macro="" textlink="">
      <xdr:nvSpPr>
        <xdr:cNvPr id="12" name="Rechthoek: afgeronde hoeken 11">
          <a:hlinkClick xmlns:r="http://schemas.openxmlformats.org/officeDocument/2006/relationships" r:id="rId1" tooltip="Terug"/>
          <a:extLst>
            <a:ext uri="{FF2B5EF4-FFF2-40B4-BE49-F238E27FC236}">
              <a16:creationId xmlns:a16="http://schemas.microsoft.com/office/drawing/2014/main" id="{79C8368C-04A8-40C4-9634-433846DFB556}"/>
            </a:ext>
          </a:extLst>
        </xdr:cNvPr>
        <xdr:cNvSpPr/>
      </xdr:nvSpPr>
      <xdr:spPr>
        <a:xfrm>
          <a:off x="371475" y="325755"/>
          <a:ext cx="1028700" cy="415290"/>
        </a:xfrm>
        <a:prstGeom prst="roundRect">
          <a:avLst/>
        </a:prstGeom>
        <a:solidFill>
          <a:srgbClr val="E401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&lt;  TERUG</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244298</xdr:colOff>
      <xdr:row>3</xdr:row>
      <xdr:rowOff>15241</xdr:rowOff>
    </xdr:from>
    <xdr:to>
      <xdr:col>13</xdr:col>
      <xdr:colOff>20004</xdr:colOff>
      <xdr:row>28</xdr:row>
      <xdr:rowOff>22053</xdr:rowOff>
    </xdr:to>
    <xdr:pic>
      <xdr:nvPicPr>
        <xdr:cNvPr id="2" name="Afbeelding 1" descr="Gekleurde paperclips op gelaagde pagina's">
          <a:extLst>
            <a:ext uri="{FF2B5EF4-FFF2-40B4-BE49-F238E27FC236}">
              <a16:creationId xmlns:a16="http://schemas.microsoft.com/office/drawing/2014/main" id="{7D2BC93F-A804-4FAB-AB80-66C1F80BAE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87798" y="672466"/>
          <a:ext cx="6467971" cy="4679777"/>
        </a:xfrm>
        <a:prstGeom prst="rect">
          <a:avLst/>
        </a:prstGeom>
      </xdr:spPr>
    </xdr:pic>
    <xdr:clientData/>
  </xdr:twoCellAnchor>
  <xdr:twoCellAnchor editAs="oneCell">
    <xdr:from>
      <xdr:col>0</xdr:col>
      <xdr:colOff>657226</xdr:colOff>
      <xdr:row>34</xdr:row>
      <xdr:rowOff>47625</xdr:rowOff>
    </xdr:from>
    <xdr:to>
      <xdr:col>1</xdr:col>
      <xdr:colOff>2133600</xdr:colOff>
      <xdr:row>38</xdr:row>
      <xdr:rowOff>95249</xdr:rowOff>
    </xdr:to>
    <xdr:pic>
      <xdr:nvPicPr>
        <xdr:cNvPr id="3" name="Afbeelding 2" descr="10+ Apple App Store Logo Png Transparent - Movie Sarlen14">
          <a:hlinkClick xmlns:r="http://schemas.openxmlformats.org/officeDocument/2006/relationships" r:id="rId2" tooltip="App Store CAO GGZ"/>
          <a:extLst>
            <a:ext uri="{FF2B5EF4-FFF2-40B4-BE49-F238E27FC236}">
              <a16:creationId xmlns:a16="http://schemas.microsoft.com/office/drawing/2014/main" id="{DA8B4107-D360-4947-9CFB-C21AC0F70FA1}"/>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7725"/>
        <a:stretch/>
      </xdr:blipFill>
      <xdr:spPr bwMode="auto">
        <a:xfrm>
          <a:off x="657226" y="6324600"/>
          <a:ext cx="2247899" cy="78104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1971676</xdr:colOff>
      <xdr:row>34</xdr:row>
      <xdr:rowOff>48943</xdr:rowOff>
    </xdr:from>
    <xdr:to>
      <xdr:col>1</xdr:col>
      <xdr:colOff>4211955</xdr:colOff>
      <xdr:row>38</xdr:row>
      <xdr:rowOff>91441</xdr:rowOff>
    </xdr:to>
    <xdr:pic>
      <xdr:nvPicPr>
        <xdr:cNvPr id="4" name="Afbeelding 3" descr="10+ Apple App Store Logo Png Transparent - Movie Sarlen14">
          <a:hlinkClick xmlns:r="http://schemas.openxmlformats.org/officeDocument/2006/relationships" r:id="rId4" tooltip="Google Play CAO GGZ"/>
          <a:extLst>
            <a:ext uri="{FF2B5EF4-FFF2-40B4-BE49-F238E27FC236}">
              <a16:creationId xmlns:a16="http://schemas.microsoft.com/office/drawing/2014/main" id="{97FE31FE-053D-4E19-BD39-C03C8F9DEDA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48450"/>
        <a:stretch/>
      </xdr:blipFill>
      <xdr:spPr bwMode="auto">
        <a:xfrm>
          <a:off x="2743201" y="6325918"/>
          <a:ext cx="2247899" cy="770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76200</xdr:rowOff>
    </xdr:from>
    <xdr:to>
      <xdr:col>1</xdr:col>
      <xdr:colOff>436244</xdr:colOff>
      <xdr:row>2</xdr:row>
      <xdr:rowOff>38100</xdr:rowOff>
    </xdr:to>
    <xdr:pic>
      <xdr:nvPicPr>
        <xdr:cNvPr id="5" name="Graphic 4" descr="Introductiepagina met effen opvulling">
          <a:hlinkClick xmlns:r="http://schemas.openxmlformats.org/officeDocument/2006/relationships" r:id="rId5" tooltip="Home"/>
          <a:extLst>
            <a:ext uri="{FF2B5EF4-FFF2-40B4-BE49-F238E27FC236}">
              <a16:creationId xmlns:a16="http://schemas.microsoft.com/office/drawing/2014/main" id="{3EAFA161-D091-4FFB-BC9D-22BECA16122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62000" y="76200"/>
          <a:ext cx="438149" cy="438150"/>
        </a:xfrm>
        <a:prstGeom prst="rect">
          <a:avLst/>
        </a:prstGeom>
      </xdr:spPr>
    </xdr:pic>
    <xdr:clientData/>
  </xdr:twoCellAnchor>
  <xdr:twoCellAnchor editAs="oneCell">
    <xdr:from>
      <xdr:col>10</xdr:col>
      <xdr:colOff>200025</xdr:colOff>
      <xdr:row>0</xdr:row>
      <xdr:rowOff>171450</xdr:rowOff>
    </xdr:from>
    <xdr:to>
      <xdr:col>11</xdr:col>
      <xdr:colOff>17145</xdr:colOff>
      <xdr:row>2</xdr:row>
      <xdr:rowOff>129540</xdr:rowOff>
    </xdr:to>
    <xdr:pic>
      <xdr:nvPicPr>
        <xdr:cNvPr id="6" name="Graphic 5" descr="Pictogram hamburgermenu met effen opvulling">
          <a:hlinkClick xmlns:r="http://schemas.openxmlformats.org/officeDocument/2006/relationships" r:id="rId8" tooltip="Menu"/>
          <a:extLst>
            <a:ext uri="{FF2B5EF4-FFF2-40B4-BE49-F238E27FC236}">
              <a16:creationId xmlns:a16="http://schemas.microsoft.com/office/drawing/2014/main" id="{C2578AA9-5C3B-4F5E-AEC9-199B00E8C16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0220325" y="171450"/>
          <a:ext cx="434340" cy="428625"/>
        </a:xfrm>
        <a:prstGeom prst="rect">
          <a:avLst/>
        </a:prstGeom>
      </xdr:spPr>
    </xdr:pic>
    <xdr:clientData/>
  </xdr:twoCellAnchor>
  <xdr:twoCellAnchor>
    <xdr:from>
      <xdr:col>11</xdr:col>
      <xdr:colOff>95249</xdr:colOff>
      <xdr:row>16</xdr:row>
      <xdr:rowOff>123825</xdr:rowOff>
    </xdr:from>
    <xdr:to>
      <xdr:col>15</xdr:col>
      <xdr:colOff>227846</xdr:colOff>
      <xdr:row>28</xdr:row>
      <xdr:rowOff>106307</xdr:rowOff>
    </xdr:to>
    <xdr:sp macro="" textlink="">
      <xdr:nvSpPr>
        <xdr:cNvPr id="14" name="Shape 63">
          <a:extLst>
            <a:ext uri="{FF2B5EF4-FFF2-40B4-BE49-F238E27FC236}">
              <a16:creationId xmlns:a16="http://schemas.microsoft.com/office/drawing/2014/main" id="{51E1DBD4-D3C9-4AF9-B77D-D9823A0B943E}"/>
            </a:ext>
          </a:extLst>
        </xdr:cNvPr>
        <xdr:cNvSpPr>
          <a:spLocks noChangeAspect="1"/>
        </xdr:cNvSpPr>
      </xdr:nvSpPr>
      <xdr:spPr>
        <a:xfrm rot="18802777">
          <a:off x="10895457" y="3039617"/>
          <a:ext cx="2230382" cy="2570997"/>
        </a:xfrm>
        <a:custGeom>
          <a:avLst/>
          <a:gdLst/>
          <a:ahLst/>
          <a:cxnLst/>
          <a:rect l="0" t="0" r="0" b="0"/>
          <a:pathLst>
            <a:path w="1654061" h="1984947">
              <a:moveTo>
                <a:pt x="330772" y="0"/>
              </a:moveTo>
              <a:lnTo>
                <a:pt x="1654061" y="0"/>
              </a:lnTo>
              <a:lnTo>
                <a:pt x="1654061" y="1654099"/>
              </a:lnTo>
              <a:lnTo>
                <a:pt x="330772" y="1654099"/>
              </a:lnTo>
              <a:lnTo>
                <a:pt x="0" y="1984947"/>
              </a:lnTo>
              <a:lnTo>
                <a:pt x="0" y="330848"/>
              </a:lnTo>
              <a:lnTo>
                <a:pt x="330772" y="0"/>
              </a:lnTo>
              <a:close/>
            </a:path>
          </a:pathLst>
        </a:custGeom>
        <a:solidFill>
          <a:srgbClr val="E40150"/>
        </a:solidFill>
        <a:ln w="0" cap="flat">
          <a:noFill/>
          <a:miter lim="127000"/>
        </a:ln>
      </xdr:spPr>
      <xdr:style>
        <a:lnRef idx="0">
          <a:srgbClr val="000000">
            <a:alpha val="0"/>
          </a:srgbClr>
        </a:lnRef>
        <a:fillRef idx="1">
          <a:srgbClr val="B35A16"/>
        </a:fillRef>
        <a:effectRef idx="0">
          <a:scrgbClr r="0" g="0" b="0"/>
        </a:effectRef>
        <a:fontRef idx="none"/>
      </xdr:style>
      <xdr:txBody>
        <a:bodyPr wrap="square"/>
        <a:lstStyle/>
        <a:p>
          <a:endParaRPr lang="nl-NL"/>
        </a:p>
      </xdr:txBody>
    </xdr:sp>
    <xdr:clientData/>
  </xdr:twoCellAnchor>
  <xdr:twoCellAnchor>
    <xdr:from>
      <xdr:col>11</xdr:col>
      <xdr:colOff>327659</xdr:colOff>
      <xdr:row>20</xdr:row>
      <xdr:rowOff>66675</xdr:rowOff>
    </xdr:from>
    <xdr:to>
      <xdr:col>14</xdr:col>
      <xdr:colOff>249554</xdr:colOff>
      <xdr:row>25</xdr:row>
      <xdr:rowOff>0</xdr:rowOff>
    </xdr:to>
    <xdr:sp macro="" textlink="">
      <xdr:nvSpPr>
        <xdr:cNvPr id="15" name="Tekstvak 14">
          <a:extLst>
            <a:ext uri="{FF2B5EF4-FFF2-40B4-BE49-F238E27FC236}">
              <a16:creationId xmlns:a16="http://schemas.microsoft.com/office/drawing/2014/main" id="{ECA8BCC6-82FC-F0ED-B273-B3AE1617D5CF}"/>
            </a:ext>
          </a:extLst>
        </xdr:cNvPr>
        <xdr:cNvSpPr txBox="1"/>
      </xdr:nvSpPr>
      <xdr:spPr>
        <a:xfrm>
          <a:off x="10957559" y="3914775"/>
          <a:ext cx="175069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2400">
              <a:solidFill>
                <a:schemeClr val="bg1"/>
              </a:solidFill>
            </a:rPr>
            <a:t>Nuttige links</a:t>
          </a:r>
        </a:p>
      </xdr:txBody>
    </xdr:sp>
    <xdr:clientData/>
  </xdr:twoCellAnchor>
  <xdr:twoCellAnchor>
    <xdr:from>
      <xdr:col>0</xdr:col>
      <xdr:colOff>0</xdr:colOff>
      <xdr:row>63</xdr:row>
      <xdr:rowOff>9525</xdr:rowOff>
    </xdr:from>
    <xdr:to>
      <xdr:col>1</xdr:col>
      <xdr:colOff>60325</xdr:colOff>
      <xdr:row>73</xdr:row>
      <xdr:rowOff>72710</xdr:rowOff>
    </xdr:to>
    <xdr:sp macro="" textlink="">
      <xdr:nvSpPr>
        <xdr:cNvPr id="17" name="Gelijkbenige driehoek 16">
          <a:extLst>
            <a:ext uri="{FF2B5EF4-FFF2-40B4-BE49-F238E27FC236}">
              <a16:creationId xmlns:a16="http://schemas.microsoft.com/office/drawing/2014/main" id="{3D9FBEAE-0695-43E0-A6CC-24B11B8D96DF}"/>
            </a:ext>
          </a:extLst>
        </xdr:cNvPr>
        <xdr:cNvSpPr/>
      </xdr:nvSpPr>
      <xdr:spPr>
        <a:xfrm rot="5400000">
          <a:off x="-534830" y="12326780"/>
          <a:ext cx="1872935" cy="803275"/>
        </a:xfrm>
        <a:prstGeom prst="triangle">
          <a:avLst/>
        </a:prstGeom>
        <a:solidFill>
          <a:srgbClr val="0080A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8</xdr:col>
      <xdr:colOff>552622</xdr:colOff>
      <xdr:row>65</xdr:row>
      <xdr:rowOff>78624</xdr:rowOff>
    </xdr:from>
    <xdr:ext cx="1068717" cy="1285513"/>
    <xdr:pic>
      <xdr:nvPicPr>
        <xdr:cNvPr id="18" name="Afbeelding 17">
          <a:hlinkClick xmlns:r="http://schemas.openxmlformats.org/officeDocument/2006/relationships" r:id="rId11" tooltip="https://www.oofggz.nl/goedwerkenindeggz/"/>
          <a:extLst>
            <a:ext uri="{FF2B5EF4-FFF2-40B4-BE49-F238E27FC236}">
              <a16:creationId xmlns:a16="http://schemas.microsoft.com/office/drawing/2014/main" id="{B8316046-3192-4865-8B3B-DD13C276A1E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53722" y="12222999"/>
          <a:ext cx="1068717" cy="128551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wgbedrijf.sharepoint.com/sites/CompanyData/Consultancy/Projecten%20D&amp;O/Stichting%20O&amp;O%20fonds%20GGZ/Balansbudget%20en%20generatiebeleid/Uitvoering/Generatiepact/Werknemers%20tool%20Balansbudget_20230511(1).xlsx" TargetMode="External"/><Relationship Id="rId1" Type="http://schemas.openxmlformats.org/officeDocument/2006/relationships/externalLinkPath" Target="/sites/CompanyData/Consultancy/Projecten%20D&amp;O/Stichting%20O&amp;O%20fonds%20GGZ/Balansbudget%20en%20generatiebeleid/Uitvoering/Generatiepact/Werknemers%20tool%20Balansbudget_20230511(1).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Kan%20ik%20deelnemen"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fwgbedrijf.sharepoint.com/sites/CompanyData/Consultancy/Projecten%20D&amp;O/StAZ/Rekentools%20generatiebeleid%20en%20zware%20beroepenregeling/rekentool%20generatiebeleid%20medewerker%20(actualisatie)/Definitieve%20tool%202022/Werknemerstool%20Generatiebeleid%20StAZ_20230330_onbeveiligd.xlsx" TargetMode="External"/><Relationship Id="rId2" Type="http://schemas.microsoft.com/office/2019/04/relationships/externalLinkLongPath" Target="/sites/CompanyData/Consultancy/Projecten%20D&amp;O/StAZ/Rekentools%20generatiebeleid%20en%20zware%20beroepenregeling/rekentool%20generatiebeleid%20medewerker%20(actualisatie)/Definitieve%20tool%202022/Werknemerstool%20Generatiebeleid%20StAZ_20230330_onbeveiligd.xlsx?A5DAD42D" TargetMode="External"/><Relationship Id="rId1" Type="http://schemas.openxmlformats.org/officeDocument/2006/relationships/externalLinkPath" Target="file:///\\A5DAD42D\Werknemerstool%20Generatiebeleid%20StAZ_20230330_onbeveiligd.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sites/CompanyData/Consultancy/Projecten%20D&amp;O/StAZ/Rekentools%20generatiebeleid%20en%20zware%20beroepenregeling/rekentool%20generatiebeleid%20medewerker%20(actualisatie)/Werknemerstool%20Generatiebeleid%20StAZ_20220823.xlsx?F59BC852" TargetMode="External"/><Relationship Id="rId1" Type="http://schemas.openxmlformats.org/officeDocument/2006/relationships/externalLinkPath" Target="file:///\\F59BC852\Werknemerstool%20Generatiebeleid%20StAZ_20220823.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fwgbedrijf.sharepoint.com/sites/CompanyData/Consultancy/Projecten%20D&amp;O/StAZ/Rekentools%20generatiebeleid%20en%20zware%20beroepenregeling/rekentool%20generatiebeleid%20HR%20(actualisatie)/ontwikkeling%20tool/Ontwikkelversie%20Rekentool%20Generatiebeleid%20CAO%20Ziekenhuizen%202022%20-%20werkgevers%20concept%205.xlsm" TargetMode="External"/><Relationship Id="rId2" Type="http://schemas.microsoft.com/office/2019/04/relationships/externalLinkLongPath" Target="/sites/CompanyData/Consultancy/Projecten%20D&amp;O/StAZ/Rekentools%20generatiebeleid%20en%20zware%20beroepenregeling/rekentool%20generatiebeleid%20HR%20(actualisatie)/ontwikkeling%20tool/Ontwikkelversie%20Rekentool%20Generatiebeleid%20CAO%20Ziekenhuizen%202022%20-%20werkgevers%20concept%205.xlsm?8F408791" TargetMode="External"/><Relationship Id="rId1" Type="http://schemas.openxmlformats.org/officeDocument/2006/relationships/externalLinkPath" Target="file:///\\8F408791\Ontwikkelversie%20Rekentool%20Generatiebeleid%20CAO%20Ziekenhuizen%202022%20-%20werkgevers%20concept%205.xlsm"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https://fwgbedrijf.sharepoint.com/sites/CompanyData/Consultancy/Projecten%20D&amp;O/StAZ/Rekentools%20generatiebeleid%20en%20zware%20beroepenregeling/rekentool%20Zware%20beroepenregeling%20HR/Rekentool%20Zware%20beroepenregeling%20Ziekenhuizen%202022%20Werkgevers_concept.xlsm" TargetMode="External"/><Relationship Id="rId2" Type="http://schemas.microsoft.com/office/2019/04/relationships/externalLinkLongPath" Target="/sites/CompanyData/Consultancy/Projecten%20D&amp;O/StAZ/Rekentools%20generatiebeleid%20en%20zware%20beroepenregeling/rekentool%20Zware%20beroepenregeling%20HR/Rekentool%20Zware%20beroepenregeling%20Ziekenhuizen%202022%20Werkgevers_concept.xlsm?B5ADEA22" TargetMode="External"/><Relationship Id="rId1" Type="http://schemas.openxmlformats.org/officeDocument/2006/relationships/externalLinkPath" Target="file:///\\B5ADEA22\Rekentool%20Zware%20beroepenregeling%20Ziekenhuizen%202022%20Werkgevers_concept.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asiswaarden"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3.Varianten"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fwgbedrijf.sharepoint.com/sites/CompanyData/Consultancy/Projecten%20D&amp;O/Stichting%20O&amp;O%20fonds%20GGZ/Balansbudget%20en%20generatiebeleid/Uitvoering/Balansbudget/Tool/Oud/Werknemers%20tool%20Balansbudget_concept.xlsx" TargetMode="External"/><Relationship Id="rId1" Type="http://schemas.openxmlformats.org/officeDocument/2006/relationships/externalLinkPath" Target="/sites/CompanyData/Consultancy/Projecten%20D&amp;O/Stichting%20O&amp;O%20fonds%20GGZ/Balansbudget%20en%20generatiebeleid/Uitvoering/Balansbudget/Tool/Oud/Werknemers%20tool%20Balansbudget_concept.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4.%20Kan%20ik%20deelnem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me"/>
      <sheetName val="Menu"/>
      <sheetName val="De regeling"/>
      <sheetName val="Gevolgen van mijn keuze"/>
      <sheetName val="Gevolgen opleiding"/>
      <sheetName val="Gevolgen tijd"/>
      <sheetName val="Gevolgen geld"/>
      <sheetName val="Mijn gegevens"/>
      <sheetName val="Wat kan ik kiezen"/>
      <sheetName val="Nuttige links"/>
      <sheetName val="Rekenblad"/>
      <sheetName val="Basiswaard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n ik deelneme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Start"/>
      <sheetName val="2. De regeling uitgelegd"/>
      <sheetName val="3. Gevolgen van deelname"/>
      <sheetName val="4. De regeling"/>
      <sheetName val="5. Kan ik deelnemen "/>
      <sheetName val="6. Mijn gegevens"/>
      <sheetName val="7. Inzicht"/>
      <sheetName val="8. Mijn loopbaanpad"/>
      <sheetName val="9. Nuttige links"/>
      <sheetName val="Bruto-netto"/>
      <sheetName val="Rekenblad"/>
      <sheetName val="Basistabellen"/>
      <sheetName val="Grafiekgegeve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tart"/>
      <sheetName val="2. De regeling uitgelegd"/>
      <sheetName val="3. Gevolgen van deelname"/>
      <sheetName val="4. De regeling"/>
      <sheetName val="5. Kan ik deelnemen "/>
      <sheetName val="6. Mijn gegevens"/>
      <sheetName val="7. Inzicht"/>
      <sheetName val="8. Mijn loopbaanpad"/>
      <sheetName val="Klad"/>
      <sheetName val="Bruto-netto"/>
      <sheetName val="Rekenblad"/>
      <sheetName val="TESTPAGINA"/>
      <sheetName val="Basistabellen"/>
      <sheetName val="Grafiekgegeve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Algemeen"/>
      <sheetName val="2. Overzicht"/>
      <sheetName val="3.Varianten"/>
      <sheetName val="4. Kosten &amp; Opbrengsten"/>
      <sheetName val="5. Formatie"/>
      <sheetName val="6. Stamkaart"/>
      <sheetName val="7. Ziekteverzuim"/>
      <sheetName val="8. Beheer_Tabellen"/>
      <sheetName val="functies dubbel"/>
      <sheetName val="dt"/>
      <sheetName val="Beheer_Salaristabelle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Handleiding"/>
      <sheetName val="Stamkaart"/>
      <sheetName val="Zware beroepen"/>
      <sheetName val="Inzicht totaal"/>
      <sheetName val="Inzicht per functie"/>
      <sheetName val="Cao en tegemoetkoming"/>
      <sheetName val="Basiswaarden"/>
      <sheetName val="Unieke functies"/>
      <sheetName val="Kernfuncties Cao ZKH"/>
      <sheetName val="Klad"/>
      <sheetName val="Kaderregeling zware beroepen"/>
      <sheetName val="Kerfuncties Cao ZKH"/>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waarde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Home"/>
      <sheetName val="De regeling"/>
      <sheetName val="Gevolgen van deelname"/>
      <sheetName val="Gevolgen opleiding"/>
      <sheetName val="Gevolgen tijd"/>
      <sheetName val="Gevolgen geld"/>
      <sheetName val="Mijn gegevens"/>
      <sheetName val="Wat kan ik kiezen"/>
      <sheetName val="Wat kan ik kiezen (Judith)"/>
      <sheetName val="Blad1"/>
      <sheetName val="Nuttige links"/>
      <sheetName val="Rekenblad"/>
      <sheetName val="Blad2"/>
      <sheetName val="Blad3"/>
      <sheetName val="Blad4"/>
      <sheetName val="Blad5"/>
      <sheetName val="Blad6"/>
      <sheetName val="Blad7"/>
      <sheetName val="Blad8"/>
      <sheetName val="Basiswaard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D40C71-B5EF-44C3-97CC-879C09012E05}" name="Grafiekgegevens" displayName="Grafiekgegevens" ref="B3:D6">
  <autoFilter ref="B3:D6" xr:uid="{00000000-0009-0000-0100-000002000000}">
    <filterColumn colId="0" hiddenButton="1"/>
    <filterColumn colId="1" hiddenButton="1"/>
    <filterColumn colId="2" hiddenButton="1"/>
  </autoFilter>
  <tableColumns count="3">
    <tableColumn id="3" xr3:uid="{A2B4DF58-2D2C-4816-BB75-2D7270F850C5}" name="Datum" totalsRowLabel="Totaal" totalsRowDxfId="19" dataCellStyle="Datum"/>
    <tableColumn id="4" xr3:uid="{0AE0296E-1AA2-4CDA-A218-74ACCA818C33}" name="Mijlpaaltitel"/>
    <tableColumn id="1" xr3:uid="{8A58DADB-DE38-44A9-AEA8-AAD7CE5F34C7}" name="Beschrijving of activiteit" totalsRowFunction="count"/>
  </tableColumns>
  <tableStyleInfo name="Tabelstijl van infographic-tijdlijn" showFirstColumn="1" showLastColumn="0" showRowStripes="1" showColumnStripes="0"/>
  <extLst>
    <ext xmlns:x14="http://schemas.microsoft.com/office/spreadsheetml/2009/9/main" uri="{504A1905-F514-4f6f-8877-14C23A59335A}">
      <x14:table altTextSummary="Maak in deze tabel een infographic-tijdlijn met mijlpalen. Voer de datum, mijlpaaltitel en mijlpaalbeschrijving of -activiteit in. De infographic-tijdlijn wordt automatisch bijgewerkt."/>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4D1A06-55E2-485D-932B-5AA519740CA3}" name="Datums" displayName="Datums" ref="B11:B16" totalsRowShown="0" dataDxfId="18">
  <autoFilter ref="B11:B16" xr:uid="{00000000-0009-0000-0100-000001000000}"/>
  <tableColumns count="1">
    <tableColumn id="1" xr3:uid="{A08773F1-3B22-4314-AB2C-E810DB4BFF12}" name="Datum" dataDxfId="17"/>
  </tableColumns>
  <tableStyleInfo name="Tabelstijl van infographic-tijdlijn" showFirstColumn="0" showLastColumn="0" showRowStripes="1" showColumnStripes="0"/>
  <extLst>
    <ext xmlns:x14="http://schemas.microsoft.com/office/spreadsheetml/2009/9/main" uri="{504A1905-F514-4f6f-8877-14C23A59335A}">
      <x14:table altTextSummary="Deze tabel haalt de datums uit het werkblad Grafiekgegevens en wijzigt hun opmaak in Dag Maand voor plaatsing op de grafiek in de Infographic-roadmap."/>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D1E7826-68D3-4921-9611-A2C3927892A2}" name="Jaren" displayName="Jaren" ref="D11:D14" totalsRowShown="0">
  <autoFilter ref="D11:D14" xr:uid="{00000000-0009-0000-0100-000003000000}"/>
  <tableColumns count="1">
    <tableColumn id="1" xr3:uid="{12352D05-28F0-4578-8A47-7F5418D347F1}" name="Jaar"/>
  </tableColumns>
  <tableStyleInfo name="Tabelstijl van infographic-tijdlijn" showFirstColumn="0" showLastColumn="0" showRowStripes="1" showColumnStripes="0"/>
  <extLst>
    <ext xmlns:x14="http://schemas.microsoft.com/office/spreadsheetml/2009/9/main" uri="{504A1905-F514-4f6f-8877-14C23A59335A}">
      <x14:table altTextSummary="Om de jaren in kaart te brengen naarmate de roadmap vordert, moet het jaar worden vastgelegd op basis van de datums. De eerste, middelste en laatste datums worden gebruikt om het jaar in kaart te brengen in de Infographic-roadmap."/>
    </ext>
  </extLst>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belastingdienst.nl/wps/wcm/connect/bldcontentnl/belastingdienst/prive/inkomstenbelasting/heffingskortingen_boxen_tarieven/heffingskortingen/algemene_heffingskorting/tabel-algemene-heffingskorting-2023" TargetMode="External"/><Relationship Id="rId2" Type="http://schemas.openxmlformats.org/officeDocument/2006/relationships/hyperlink" Target="https://www.belastingdienst.nl/wps/wcm/connect/bldcontentnl/belastingdienst/prive/inkomstenbelasting/heffingskortingen_boxen_tarieven/heffingskortingen/arbeidskorting/tabel-arbeidskorting-2023" TargetMode="External"/><Relationship Id="rId1" Type="http://schemas.openxmlformats.org/officeDocument/2006/relationships/hyperlink" Target="https://www.belastingdienst.nl/wps/wcm/connect/bldcontentnl/belastingdienst/prive/inkomstenbelasting/heffingskortingen_boxen_tarieven/boxen_en_tarieven/overzicht_tarieven_en_schijven/u-hebt-in-2023-nog-niet-aow-leeftijd" TargetMode="External"/><Relationship Id="rId5" Type="http://schemas.openxmlformats.org/officeDocument/2006/relationships/printerSettings" Target="../printerSettings/printerSettings11.bin"/><Relationship Id="rId4" Type="http://schemas.openxmlformats.org/officeDocument/2006/relationships/hyperlink" Target="https://www.pfzw.nl/werkgevers/premie-en-factuur/premiepercentages-en-franchises.html"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pfzw.nl/particulieren.html" TargetMode="External"/><Relationship Id="rId13" Type="http://schemas.openxmlformats.org/officeDocument/2006/relationships/hyperlink" Target="https://werkurenberekenaar.nibud.nl/introductie" TargetMode="External"/><Relationship Id="rId18" Type="http://schemas.openxmlformats.org/officeDocument/2006/relationships/printerSettings" Target="../printerSettings/printerSettings8.bin"/><Relationship Id="rId3" Type="http://schemas.openxmlformats.org/officeDocument/2006/relationships/hyperlink" Target="https://www.fbz.nl/" TargetMode="External"/><Relationship Id="rId7" Type="http://schemas.openxmlformats.org/officeDocument/2006/relationships/hyperlink" Target="https://www.mijnpensioenoverzicht.nl/" TargetMode="External"/><Relationship Id="rId12" Type="http://schemas.openxmlformats.org/officeDocument/2006/relationships/hyperlink" Target="https://www.denederlandseggz.nl/" TargetMode="External"/><Relationship Id="rId17" Type="http://schemas.openxmlformats.org/officeDocument/2006/relationships/hyperlink" Target="https://www.oofggz.nl/voorlichting-over-regeling-vervroegd-uittreden-rvu/" TargetMode="External"/><Relationship Id="rId2" Type="http://schemas.openxmlformats.org/officeDocument/2006/relationships/hyperlink" Target="https://www.fnv.nl/cao-sector/zorg-welzijn" TargetMode="External"/><Relationship Id="rId16" Type="http://schemas.openxmlformats.org/officeDocument/2006/relationships/hyperlink" Target="CAO-GGZ-1-12-2021-31-12-2024-INCL-WML-1-juli-2023.pdf%20(denederlandseggz.nl)" TargetMode="External"/><Relationship Id="rId1" Type="http://schemas.openxmlformats.org/officeDocument/2006/relationships/hyperlink" Target="https://www.cnvconnectief.nl/zorg-en-welzijn/zorg/?_ga=2.165046521.776447035.1669889394-1964293746.1669889394&amp;_gl=1*trx5s3*_ga*MTk2NDI5Mzc0Ni4xNjY5ODg5Mzk0*_ga_Z0Z11M64VR*MTY2OTg4OTM5My4xLjEuMTY2OTg4OTQwNy4wLjAuMA.." TargetMode="External"/><Relationship Id="rId6" Type="http://schemas.openxmlformats.org/officeDocument/2006/relationships/hyperlink" Target="https://www.belastingdienst.nl/wps/wcm/connect/bldcontentnl/belastingdienst/prive/toeslagen/inloggen_op_mijn_toeslagen" TargetMode="External"/><Relationship Id="rId11" Type="http://schemas.openxmlformats.org/officeDocument/2006/relationships/hyperlink" Target="https://www.oofggz.nl/goedwerkenindeggz/" TargetMode="External"/><Relationship Id="rId5" Type="http://schemas.openxmlformats.org/officeDocument/2006/relationships/hyperlink" Target="https://www.belastingdienst.nl/wps/wcm/connect/nl/toeslagen/toeslagen" TargetMode="External"/><Relationship Id="rId15" Type="http://schemas.openxmlformats.org/officeDocument/2006/relationships/hyperlink" Target="https://www.oofggz.nl/inzicht-loopbaankeuzes-en-financiele-gevolgen/" TargetMode="External"/><Relationship Id="rId10" Type="http://schemas.openxmlformats.org/officeDocument/2006/relationships/hyperlink" Target="https://www.toekomstverkenner.nl/pfzw/home" TargetMode="External"/><Relationship Id="rId19" Type="http://schemas.openxmlformats.org/officeDocument/2006/relationships/drawing" Target="../drawings/drawing9.xml"/><Relationship Id="rId4" Type="http://schemas.openxmlformats.org/officeDocument/2006/relationships/hyperlink" Target="https://www.nu91.nl/" TargetMode="External"/><Relationship Id="rId9" Type="http://schemas.openxmlformats.org/officeDocument/2006/relationships/hyperlink" Target="https://auth.pfzw.nl/" TargetMode="External"/><Relationship Id="rId14" Type="http://schemas.openxmlformats.org/officeDocument/2006/relationships/hyperlink" Target="https://www.zorginspirator.nl/?gclid=EAIaIQobChMIycGdv-rT_gIVrv93Ch21wgX-EAAYASAAEgKfKPD_Bw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EB4E-D577-4D24-BAE3-71B70F29ADC9}">
  <sheetPr codeName="Blad4">
    <tabColor theme="0" tint="-0.34998626667073579"/>
  </sheetPr>
  <dimension ref="B2:R54"/>
  <sheetViews>
    <sheetView showGridLines="0" showRowColHeaders="0" tabSelected="1" zoomScaleNormal="100" workbookViewId="0">
      <selection activeCell="U34" sqref="U34"/>
    </sheetView>
  </sheetViews>
  <sheetFormatPr defaultColWidth="9" defaultRowHeight="14.25"/>
  <cols>
    <col min="1" max="1" width="6" style="88" customWidth="1"/>
    <col min="2" max="16384" width="9" style="88"/>
  </cols>
  <sheetData>
    <row r="2" spans="2:15" ht="23.25">
      <c r="O2" s="90" t="s">
        <v>0</v>
      </c>
    </row>
    <row r="3" spans="2:15" ht="23.25">
      <c r="O3" s="90" t="s">
        <v>1</v>
      </c>
    </row>
    <row r="7" spans="2:15" ht="36">
      <c r="B7" s="87" t="s">
        <v>2</v>
      </c>
    </row>
    <row r="31" spans="14:15">
      <c r="O31" s="88" t="s">
        <v>3</v>
      </c>
    </row>
    <row r="32" spans="14:15">
      <c r="N32" s="88" t="s">
        <v>4</v>
      </c>
    </row>
    <row r="33" spans="15:18">
      <c r="O33" s="88" t="s">
        <v>5</v>
      </c>
    </row>
    <row r="37" spans="15:18">
      <c r="O37" s="88" t="s">
        <v>4</v>
      </c>
    </row>
    <row r="43" spans="15:18">
      <c r="R43" s="88" t="s">
        <v>5</v>
      </c>
    </row>
    <row r="54" spans="2:2" ht="16.899999999999999">
      <c r="B54" s="91"/>
    </row>
  </sheetData>
  <sheetProtection algorithmName="SHA-512" hashValue="8mQHqOs48ZI9aeG5AZ/kL6Qiw2YqlweD0VDO5r2QbL/ey8ZC5rmTXjuVGnaUpukXNzLjUPmHQO49bAZn4W8CQA==" saltValue="5m91mM2weB0UfCXl4D3GNg=="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13759-888E-4ACC-9D1F-A150886F0276}">
  <sheetPr>
    <tabColor theme="5"/>
  </sheetPr>
  <dimension ref="A1"/>
  <sheetViews>
    <sheetView workbookViewId="0">
      <selection activeCell="N19" sqref="N19"/>
    </sheetView>
  </sheetViews>
  <sheetFormatPr defaultRowHeight="14.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AE3D6-A666-43CC-A498-FB42A3B150E0}">
  <sheetPr codeName="Blad9">
    <tabColor rgb="FFF9A503"/>
  </sheetPr>
  <dimension ref="B2:T99"/>
  <sheetViews>
    <sheetView showGridLines="0" zoomScale="85" zoomScaleNormal="85" workbookViewId="0">
      <selection activeCell="E76" sqref="E76"/>
    </sheetView>
  </sheetViews>
  <sheetFormatPr defaultRowHeight="14.25"/>
  <cols>
    <col min="2" max="2" width="36" bestFit="1" customWidth="1"/>
    <col min="3" max="3" width="12.86328125" customWidth="1"/>
    <col min="4" max="4" width="18.1328125" customWidth="1"/>
    <col min="5" max="6" width="12.86328125" customWidth="1"/>
    <col min="7" max="9" width="15.86328125" customWidth="1"/>
    <col min="10" max="11" width="12.86328125" customWidth="1"/>
    <col min="12" max="12" width="32.53125" bestFit="1" customWidth="1"/>
    <col min="13" max="13" width="13.86328125" customWidth="1"/>
    <col min="14" max="14" width="13" customWidth="1"/>
    <col min="15" max="15" width="33" customWidth="1"/>
    <col min="20" max="20" width="9.53125" bestFit="1" customWidth="1"/>
  </cols>
  <sheetData>
    <row r="2" spans="2:15" ht="18">
      <c r="B2" s="5" t="s">
        <v>93</v>
      </c>
    </row>
    <row r="5" spans="2:15" ht="14.65" thickBot="1">
      <c r="B5" s="14" t="s">
        <v>94</v>
      </c>
      <c r="C5" s="14"/>
      <c r="D5" s="14"/>
      <c r="E5" s="14"/>
      <c r="F5" s="14"/>
      <c r="G5" s="14"/>
      <c r="H5" s="14"/>
      <c r="I5" s="14"/>
      <c r="J5" s="14"/>
      <c r="K5" s="14"/>
      <c r="L5" s="14"/>
      <c r="M5" s="14"/>
      <c r="N5" s="14"/>
      <c r="O5" s="14"/>
    </row>
    <row r="6" spans="2:15" ht="28.5">
      <c r="C6" s="95" t="s">
        <v>39</v>
      </c>
      <c r="D6" s="84" t="s">
        <v>95</v>
      </c>
      <c r="E6" s="85" t="s">
        <v>96</v>
      </c>
    </row>
    <row r="7" spans="2:15">
      <c r="B7" t="s">
        <v>94</v>
      </c>
      <c r="C7" s="12">
        <f>'Kan ik deelnemen '!C31/36</f>
        <v>0</v>
      </c>
      <c r="D7" s="12">
        <f>MAX(C7*Basistabellen!C8,AVERAGE(C7,E7))</f>
        <v>0.33333333333333331</v>
      </c>
      <c r="E7" s="2">
        <f>MAX(C7*Basistabellen!C6,Basistabellen!C15/Basistabellen!C13)</f>
        <v>0.66666666666666663</v>
      </c>
      <c r="G7" s="27"/>
      <c r="L7" s="3"/>
    </row>
    <row r="8" spans="2:15">
      <c r="C8" s="12"/>
      <c r="E8" s="12"/>
      <c r="H8" s="1"/>
      <c r="K8" s="94"/>
      <c r="L8" s="12"/>
    </row>
    <row r="9" spans="2:15">
      <c r="C9" s="12"/>
      <c r="D9" s="12"/>
      <c r="E9" s="12"/>
    </row>
    <row r="11" spans="2:15" ht="14.65" thickBot="1">
      <c r="B11" s="14" t="s">
        <v>97</v>
      </c>
      <c r="C11" s="14"/>
      <c r="D11" s="14"/>
      <c r="E11" s="14"/>
      <c r="F11" s="14"/>
      <c r="G11" s="14"/>
      <c r="H11" s="14"/>
      <c r="I11" s="14"/>
      <c r="J11" s="14"/>
      <c r="K11" s="14"/>
      <c r="L11" s="14"/>
      <c r="M11" s="14"/>
      <c r="N11" s="14"/>
      <c r="O11" s="14"/>
    </row>
    <row r="12" spans="2:15">
      <c r="B12" t="s">
        <v>97</v>
      </c>
      <c r="C12" s="3">
        <f>'Mijn gegevens'!D40</f>
        <v>0</v>
      </c>
      <c r="D12" s="3"/>
    </row>
    <row r="13" spans="2:15">
      <c r="B13" t="s">
        <v>98</v>
      </c>
      <c r="C13" s="2">
        <v>8.3299999999999999E-2</v>
      </c>
      <c r="D13" s="2"/>
      <c r="E13" t="s">
        <v>99</v>
      </c>
    </row>
    <row r="14" spans="2:15">
      <c r="B14" t="s">
        <v>100</v>
      </c>
      <c r="C14" s="2">
        <v>8.3299999999999999E-2</v>
      </c>
      <c r="D14" s="2"/>
      <c r="E14" t="s">
        <v>101</v>
      </c>
    </row>
    <row r="15" spans="2:15">
      <c r="C15" s="2"/>
      <c r="D15" s="2"/>
    </row>
    <row r="16" spans="2:15">
      <c r="C16" s="138" t="s">
        <v>102</v>
      </c>
      <c r="D16" s="138"/>
      <c r="E16" s="139"/>
      <c r="G16" s="136" t="s">
        <v>103</v>
      </c>
      <c r="H16" s="137"/>
      <c r="I16" s="137"/>
      <c r="K16" s="2"/>
      <c r="L16" s="17" t="s">
        <v>104</v>
      </c>
      <c r="M16" s="2"/>
    </row>
    <row r="17" spans="2:20">
      <c r="C17" s="16" t="s">
        <v>39</v>
      </c>
      <c r="D17" s="16" t="s">
        <v>105</v>
      </c>
      <c r="E17" s="17" t="s">
        <v>106</v>
      </c>
      <c r="F17" s="17"/>
      <c r="G17" s="16" t="s">
        <v>39</v>
      </c>
      <c r="H17" s="16" t="s">
        <v>105</v>
      </c>
      <c r="I17" s="17" t="s">
        <v>106</v>
      </c>
      <c r="K17" s="17"/>
      <c r="L17" s="2"/>
      <c r="M17" s="41" t="s">
        <v>107</v>
      </c>
      <c r="N17" s="24" t="s">
        <v>108</v>
      </c>
    </row>
    <row r="18" spans="2:20">
      <c r="B18" t="s">
        <v>109</v>
      </c>
      <c r="C18" s="3">
        <f>(C12*12)+(C12*12*C13)+(C12*12*C14)</f>
        <v>0</v>
      </c>
      <c r="D18" s="3">
        <f>C12*12*Basistabellen!$C$6*(1+C13)+12*C12*C14</f>
        <v>0</v>
      </c>
      <c r="E18" s="3">
        <f>C12*12*Basistabellen!$C$8*(1+C13)+12*C12*C14</f>
        <v>0</v>
      </c>
      <c r="F18" s="3"/>
      <c r="G18" s="3">
        <f>C12</f>
        <v>0</v>
      </c>
      <c r="H18" s="3" t="e">
        <f>C12/C7*E7</f>
        <v>#DIV/0!</v>
      </c>
      <c r="I18" s="3" t="e">
        <f>(C12/C7)*D7</f>
        <v>#DIV/0!</v>
      </c>
      <c r="K18" s="3"/>
      <c r="L18" t="s">
        <v>110</v>
      </c>
      <c r="M18" s="3">
        <f>Basistabellen!C62</f>
        <v>73030</v>
      </c>
      <c r="N18" s="12">
        <f>Basistabellen!D62</f>
        <v>0.36930000000000002</v>
      </c>
    </row>
    <row r="19" spans="2:20">
      <c r="B19" t="s">
        <v>111</v>
      </c>
      <c r="C19" s="13">
        <f>C86</f>
        <v>0</v>
      </c>
      <c r="D19" s="13">
        <f>D86</f>
        <v>929.65354999999988</v>
      </c>
      <c r="E19" s="13">
        <f t="shared" ref="E19:I19" si="0">E86</f>
        <v>701.64175</v>
      </c>
      <c r="F19" s="13"/>
      <c r="G19" s="13">
        <f t="shared" si="0"/>
        <v>62.672499999999999</v>
      </c>
      <c r="H19" s="13" t="e">
        <f t="shared" si="0"/>
        <v>#DIV/0!</v>
      </c>
      <c r="I19" s="13" t="e">
        <f t="shared" si="0"/>
        <v>#DIV/0!</v>
      </c>
      <c r="K19" s="2"/>
      <c r="L19" t="s">
        <v>112</v>
      </c>
      <c r="M19" s="3">
        <f>Basistabellen!C63</f>
        <v>73031</v>
      </c>
      <c r="N19" s="12">
        <f>Basistabellen!D63</f>
        <v>0.495</v>
      </c>
    </row>
    <row r="20" spans="2:20">
      <c r="C20" s="26"/>
      <c r="D20" s="26"/>
      <c r="E20" s="2"/>
      <c r="F20" s="2"/>
      <c r="G20" s="2"/>
      <c r="H20" s="2"/>
      <c r="I20" s="2"/>
      <c r="K20" s="2"/>
      <c r="M20" s="3"/>
      <c r="N20" s="12"/>
    </row>
    <row r="21" spans="2:20">
      <c r="B21" t="s">
        <v>113</v>
      </c>
      <c r="C21" s="12">
        <f>IF(C19&gt;=M18,N19,N18)</f>
        <v>0.36930000000000002</v>
      </c>
      <c r="D21" s="12">
        <f>IF(D19&gt;=M18,N19,N18)</f>
        <v>0.36930000000000002</v>
      </c>
      <c r="E21" s="2">
        <f>IF(E19&gt;=M18,N19,N18)</f>
        <v>0.36930000000000002</v>
      </c>
      <c r="F21" s="2"/>
      <c r="G21" s="2">
        <f>C21</f>
        <v>0.36930000000000002</v>
      </c>
      <c r="H21" s="2">
        <f>D21</f>
        <v>0.36930000000000002</v>
      </c>
      <c r="I21" s="2">
        <f>E21</f>
        <v>0.36930000000000002</v>
      </c>
      <c r="K21" s="2"/>
    </row>
    <row r="22" spans="2:20">
      <c r="E22" s="2"/>
      <c r="F22" s="2"/>
      <c r="G22" s="2"/>
      <c r="H22" s="2"/>
      <c r="I22" s="2"/>
      <c r="J22" s="2"/>
      <c r="K22" s="2"/>
      <c r="T22" s="26"/>
    </row>
    <row r="23" spans="2:20">
      <c r="E23" s="2"/>
      <c r="F23" s="2"/>
      <c r="G23" s="2"/>
      <c r="H23" s="2"/>
      <c r="I23" s="2"/>
      <c r="J23" s="2"/>
      <c r="K23" s="2"/>
    </row>
    <row r="24" spans="2:20">
      <c r="E24" s="2"/>
      <c r="F24" s="2"/>
      <c r="G24" s="2"/>
      <c r="H24" s="2"/>
      <c r="I24" s="2"/>
      <c r="J24" s="2"/>
      <c r="K24" s="2"/>
      <c r="M24" s="3"/>
      <c r="N24" s="2"/>
    </row>
    <row r="25" spans="2:20" ht="14.65" thickBot="1">
      <c r="B25" s="14" t="s">
        <v>114</v>
      </c>
      <c r="C25" s="14"/>
      <c r="D25" s="14"/>
      <c r="E25" s="14"/>
      <c r="F25" s="14"/>
      <c r="G25" s="14"/>
      <c r="H25" s="14"/>
      <c r="I25" s="14"/>
      <c r="J25" s="14"/>
      <c r="K25" s="14"/>
      <c r="L25" s="14"/>
      <c r="M25" s="14"/>
      <c r="N25" s="14"/>
      <c r="O25" s="14"/>
    </row>
    <row r="28" spans="2:20">
      <c r="C28" s="138" t="s">
        <v>102</v>
      </c>
      <c r="D28" s="138"/>
      <c r="E28" s="139"/>
      <c r="G28" s="136" t="s">
        <v>115</v>
      </c>
      <c r="H28" s="137"/>
      <c r="I28" s="137"/>
      <c r="L28" s="16" t="s">
        <v>116</v>
      </c>
    </row>
    <row r="29" spans="2:20">
      <c r="C29" s="16" t="s">
        <v>39</v>
      </c>
      <c r="D29" s="16" t="s">
        <v>105</v>
      </c>
      <c r="E29" s="17" t="s">
        <v>106</v>
      </c>
      <c r="F29" s="17"/>
      <c r="G29" s="16" t="s">
        <v>39</v>
      </c>
      <c r="H29" s="16" t="s">
        <v>105</v>
      </c>
      <c r="I29" s="17" t="s">
        <v>106</v>
      </c>
      <c r="J29" s="17"/>
      <c r="K29" s="17"/>
      <c r="L29" t="s">
        <v>117</v>
      </c>
      <c r="M29" s="3">
        <f>Basistabellen!C98</f>
        <v>14714</v>
      </c>
    </row>
    <row r="30" spans="2:20">
      <c r="B30" t="s">
        <v>118</v>
      </c>
      <c r="C30" s="13">
        <f>IF(C18&gt;$M$31,$M$31,C18)</f>
        <v>0</v>
      </c>
      <c r="D30" s="13">
        <f>IF(IF($M$35="ja",C18,E18)&gt;$M$31,$M$31,IF($M$35="ja",C18,E18))</f>
        <v>0</v>
      </c>
      <c r="E30" s="13">
        <f>IF(IF($M$35="ja",C18,E18)&gt;$M$31,$M$31,IF($M$35="ja",C18,E18))</f>
        <v>0</v>
      </c>
      <c r="G30" s="13">
        <f>C30/12</f>
        <v>0</v>
      </c>
      <c r="H30" s="13">
        <f>D30/12</f>
        <v>0</v>
      </c>
      <c r="I30" s="13">
        <f>E30/12</f>
        <v>0</v>
      </c>
      <c r="L30" t="s">
        <v>119</v>
      </c>
      <c r="M30" s="3">
        <f>Basistabellen!C99</f>
        <v>25069</v>
      </c>
    </row>
    <row r="31" spans="2:20">
      <c r="B31" t="s">
        <v>120</v>
      </c>
      <c r="C31" s="13">
        <f>IFERROR(C30/C7,0)</f>
        <v>0</v>
      </c>
      <c r="D31" s="13">
        <f>IFERROR(IF(M35="ja",C31,'Bruto-netto'!D30/C7),0)</f>
        <v>0</v>
      </c>
      <c r="E31" s="13">
        <f>IFERROR(IF(M35="ja",C31,'Bruto-netto'!E30/C7),0)</f>
        <v>0</v>
      </c>
      <c r="G31" s="26">
        <f>(C31/12)-($M$29/12)</f>
        <v>-1226.1666666666667</v>
      </c>
      <c r="H31" s="26">
        <f>(D31/12)-($M$29/12)</f>
        <v>-1226.1666666666667</v>
      </c>
      <c r="I31" s="26">
        <f>(E31/12)-($M$29/12)</f>
        <v>-1226.1666666666667</v>
      </c>
      <c r="L31" t="s">
        <v>121</v>
      </c>
      <c r="M31" s="3">
        <f>Basistabellen!C100</f>
        <v>128810</v>
      </c>
      <c r="N31" s="2"/>
    </row>
    <row r="32" spans="2:20">
      <c r="B32" t="s">
        <v>122</v>
      </c>
      <c r="C32" s="13">
        <f>(C31-$M29)*$C$7*$M32</f>
        <v>0</v>
      </c>
      <c r="D32" s="13">
        <f>(D31-$M29)*$M32*$D$7</f>
        <v>-1265.404</v>
      </c>
      <c r="E32" s="13">
        <f>(E31-$M29)*$M32*$D$7</f>
        <v>-1265.404</v>
      </c>
      <c r="G32" s="26">
        <f>C32/12</f>
        <v>0</v>
      </c>
      <c r="H32" s="26">
        <f>D32/12</f>
        <v>-105.45033333333333</v>
      </c>
      <c r="I32" s="26">
        <f>E32/12</f>
        <v>-105.45033333333333</v>
      </c>
      <c r="J32" s="26"/>
      <c r="L32" t="s">
        <v>123</v>
      </c>
      <c r="M32" s="2">
        <f>Basistabellen!C101</f>
        <v>0.25800000000000001</v>
      </c>
    </row>
    <row r="33" spans="2:14">
      <c r="C33" s="13"/>
      <c r="D33" s="13"/>
      <c r="E33" s="13"/>
      <c r="G33" s="13"/>
      <c r="H33" s="13"/>
      <c r="I33" s="13"/>
      <c r="L33" t="s">
        <v>124</v>
      </c>
      <c r="M33" s="2">
        <f>Basistabellen!C102</f>
        <v>5.0000000000000001E-3</v>
      </c>
      <c r="N33" s="15" t="s">
        <v>125</v>
      </c>
    </row>
    <row r="34" spans="2:14">
      <c r="B34" t="s">
        <v>126</v>
      </c>
      <c r="C34" s="68" t="s">
        <v>127</v>
      </c>
      <c r="D34" s="68" t="s">
        <v>127</v>
      </c>
      <c r="E34" s="68" t="s">
        <v>127</v>
      </c>
      <c r="G34" s="68" t="s">
        <v>127</v>
      </c>
      <c r="H34" s="68" t="s">
        <v>127</v>
      </c>
      <c r="I34" s="68" t="s">
        <v>127</v>
      </c>
      <c r="L34" t="s">
        <v>128</v>
      </c>
      <c r="M34" s="2">
        <f>Basistabellen!C103</f>
        <v>0.5</v>
      </c>
    </row>
    <row r="35" spans="2:14">
      <c r="B35" t="s">
        <v>129</v>
      </c>
      <c r="C35" s="68" t="s">
        <v>127</v>
      </c>
      <c r="D35" s="13">
        <f>D32*(1-Basistabellen!$C$6)*N35</f>
        <v>-253.08079999999995</v>
      </c>
      <c r="E35" s="13">
        <f>C32*(1-Basistabellen!$C$8)*N35</f>
        <v>0</v>
      </c>
      <c r="G35" s="68" t="s">
        <v>127</v>
      </c>
      <c r="H35" s="13">
        <f>D35/12</f>
        <v>-21.090066666666662</v>
      </c>
      <c r="I35" s="13">
        <f>E35/12</f>
        <v>0</v>
      </c>
      <c r="L35" t="s">
        <v>130</v>
      </c>
      <c r="M35" s="18" t="str">
        <f>Basistabellen!C10</f>
        <v>ja</v>
      </c>
      <c r="N35">
        <f>IF(M35="nee",0,1)</f>
        <v>1</v>
      </c>
    </row>
    <row r="36" spans="2:14">
      <c r="C36" s="13"/>
      <c r="D36" s="13"/>
      <c r="E36" s="13"/>
      <c r="M36" s="18"/>
      <c r="N36" s="2"/>
    </row>
    <row r="37" spans="2:14">
      <c r="B37" t="s">
        <v>131</v>
      </c>
      <c r="C37" s="13">
        <f>(C30-M30)*M33</f>
        <v>-125.345</v>
      </c>
      <c r="D37" s="13">
        <f>(D30-M30)*M33*M34</f>
        <v>-62.672499999999999</v>
      </c>
      <c r="E37" s="13">
        <f>(E30-M30)*M33*M34</f>
        <v>-62.672499999999999</v>
      </c>
      <c r="G37" s="67">
        <f>C37/12</f>
        <v>-10.445416666666667</v>
      </c>
      <c r="H37" s="67">
        <f>D37/12</f>
        <v>-5.2227083333333333</v>
      </c>
      <c r="I37" s="67">
        <f>E37/12</f>
        <v>-5.2227083333333333</v>
      </c>
      <c r="J37" s="26"/>
      <c r="L37" s="16" t="s">
        <v>132</v>
      </c>
      <c r="M37" s="18"/>
      <c r="N37" s="2"/>
    </row>
    <row r="38" spans="2:14">
      <c r="B38" t="s">
        <v>133</v>
      </c>
      <c r="C38" s="13">
        <f>C32+C37</f>
        <v>-125.345</v>
      </c>
      <c r="D38" s="13">
        <f>D32+D37</f>
        <v>-1328.0764999999999</v>
      </c>
      <c r="E38" s="13">
        <f>E32+E37</f>
        <v>-1328.0764999999999</v>
      </c>
      <c r="G38" s="26">
        <f>G32+G37</f>
        <v>-10.445416666666667</v>
      </c>
      <c r="H38" s="26">
        <f>H32+H37</f>
        <v>-110.67304166666666</v>
      </c>
      <c r="I38" s="26">
        <f>I32+I37</f>
        <v>-110.67304166666666</v>
      </c>
      <c r="L38" t="s">
        <v>134</v>
      </c>
      <c r="M38" s="3"/>
      <c r="N38" s="2"/>
    </row>
    <row r="39" spans="2:14">
      <c r="C39" s="26"/>
      <c r="D39" s="26"/>
      <c r="E39" s="26"/>
      <c r="G39" s="13"/>
      <c r="H39" s="13"/>
      <c r="I39" s="13"/>
      <c r="L39" t="s">
        <v>135</v>
      </c>
      <c r="M39" s="3"/>
      <c r="N39" s="2"/>
    </row>
    <row r="40" spans="2:14">
      <c r="B40" t="s">
        <v>136</v>
      </c>
      <c r="C40" s="68" t="s">
        <v>127</v>
      </c>
      <c r="D40" s="68" t="s">
        <v>127</v>
      </c>
      <c r="E40" s="68" t="s">
        <v>127</v>
      </c>
      <c r="G40" s="68" t="s">
        <v>127</v>
      </c>
      <c r="H40" s="68" t="s">
        <v>127</v>
      </c>
      <c r="I40" s="68" t="s">
        <v>127</v>
      </c>
      <c r="M40" s="3"/>
      <c r="N40" s="2"/>
    </row>
    <row r="41" spans="2:14">
      <c r="B41" t="s">
        <v>137</v>
      </c>
      <c r="C41" s="68" t="s">
        <v>127</v>
      </c>
      <c r="D41" s="26">
        <f>D37*(1-Basistabellen!$C$6)*N35</f>
        <v>-12.534499999999998</v>
      </c>
      <c r="E41" s="26">
        <f>C37*(1-Basistabellen!$C$8)*N35</f>
        <v>-12.534499999999998</v>
      </c>
      <c r="G41" s="68" t="s">
        <v>127</v>
      </c>
      <c r="H41" s="26">
        <f>D41/12</f>
        <v>-1.0445416666666665</v>
      </c>
      <c r="I41" s="26">
        <f>E41/12</f>
        <v>-1.0445416666666665</v>
      </c>
      <c r="L41" t="s">
        <v>138</v>
      </c>
      <c r="M41" s="3"/>
      <c r="N41" s="2"/>
    </row>
    <row r="42" spans="2:14">
      <c r="C42" s="26"/>
      <c r="D42" s="26"/>
      <c r="E42" s="26"/>
      <c r="G42" s="13"/>
      <c r="H42" s="13"/>
      <c r="I42" s="13"/>
      <c r="M42" s="3"/>
      <c r="N42" s="2"/>
    </row>
    <row r="43" spans="2:14">
      <c r="B43" s="69" t="s">
        <v>139</v>
      </c>
      <c r="C43" s="26"/>
      <c r="D43" s="26"/>
      <c r="E43" s="26"/>
      <c r="G43" s="13"/>
      <c r="H43" s="13"/>
      <c r="I43" s="13"/>
      <c r="M43" s="3"/>
      <c r="N43" s="2"/>
    </row>
    <row r="44" spans="2:14">
      <c r="B44" t="s">
        <v>140</v>
      </c>
      <c r="C44" s="13">
        <f>C32*$M$34</f>
        <v>0</v>
      </c>
      <c r="D44" s="13">
        <f>D32*$M$34</f>
        <v>-632.702</v>
      </c>
      <c r="E44" s="13">
        <f>E32*$M$34</f>
        <v>-632.702</v>
      </c>
      <c r="G44" s="50">
        <f>G32*$M$34</f>
        <v>0</v>
      </c>
      <c r="H44" s="50">
        <f>H32*$M$34</f>
        <v>-52.725166666666667</v>
      </c>
      <c r="I44" s="50">
        <f>I32*$M$34</f>
        <v>-52.725166666666667</v>
      </c>
      <c r="J44" s="26"/>
      <c r="K44" s="26"/>
      <c r="M44" s="3"/>
      <c r="N44" s="2"/>
    </row>
    <row r="45" spans="2:14">
      <c r="B45" t="s">
        <v>126</v>
      </c>
      <c r="C45" s="68" t="s">
        <v>127</v>
      </c>
      <c r="D45" s="68" t="s">
        <v>127</v>
      </c>
      <c r="E45" s="68" t="s">
        <v>127</v>
      </c>
      <c r="G45" s="68" t="s">
        <v>127</v>
      </c>
      <c r="H45" s="68" t="s">
        <v>127</v>
      </c>
      <c r="I45" s="68" t="s">
        <v>127</v>
      </c>
      <c r="J45" s="26"/>
      <c r="K45" s="26"/>
      <c r="M45" s="3"/>
      <c r="N45" s="2"/>
    </row>
    <row r="46" spans="2:14">
      <c r="B46" t="s">
        <v>141</v>
      </c>
      <c r="C46" s="68" t="s">
        <v>127</v>
      </c>
      <c r="D46" s="68" t="s">
        <v>127</v>
      </c>
      <c r="E46" s="13">
        <f>E35*$M$34</f>
        <v>0</v>
      </c>
      <c r="G46" s="68" t="s">
        <v>127</v>
      </c>
      <c r="H46" s="68" t="s">
        <v>127</v>
      </c>
      <c r="I46" s="50">
        <f>I35*M34</f>
        <v>0</v>
      </c>
      <c r="J46" s="26"/>
      <c r="K46" s="26"/>
      <c r="M46" s="3"/>
      <c r="N46" s="2"/>
    </row>
    <row r="47" spans="2:14">
      <c r="B47" t="s">
        <v>131</v>
      </c>
      <c r="C47" s="13">
        <f>C37*$M$34</f>
        <v>-62.672499999999999</v>
      </c>
      <c r="D47" s="13">
        <f>D37*$M$34</f>
        <v>-31.33625</v>
      </c>
      <c r="E47" s="13">
        <f>E37*$M$34</f>
        <v>-31.33625</v>
      </c>
      <c r="G47" s="50">
        <f>G37*$M$34</f>
        <v>-5.2227083333333333</v>
      </c>
      <c r="H47" s="50">
        <f>H37*$M$34</f>
        <v>-2.6113541666666666</v>
      </c>
      <c r="I47" s="50">
        <f>I37*$M$34</f>
        <v>-2.6113541666666666</v>
      </c>
      <c r="J47" s="26"/>
      <c r="K47" s="26"/>
      <c r="M47" s="3"/>
      <c r="N47" s="2"/>
    </row>
    <row r="48" spans="2:14">
      <c r="B48" t="s">
        <v>136</v>
      </c>
      <c r="C48" s="68" t="s">
        <v>127</v>
      </c>
      <c r="D48" s="68" t="s">
        <v>127</v>
      </c>
      <c r="E48" s="68" t="s">
        <v>127</v>
      </c>
      <c r="G48" s="68" t="s">
        <v>127</v>
      </c>
      <c r="H48" s="68" t="s">
        <v>127</v>
      </c>
      <c r="I48" s="68" t="s">
        <v>127</v>
      </c>
      <c r="J48" s="26"/>
      <c r="K48" s="26"/>
      <c r="M48" s="3"/>
      <c r="N48" s="2"/>
    </row>
    <row r="49" spans="2:15">
      <c r="B49" s="72" t="s">
        <v>142</v>
      </c>
      <c r="C49" s="73" t="s">
        <v>127</v>
      </c>
      <c r="D49" s="74">
        <f>D41*$M$34</f>
        <v>-6.2672499999999989</v>
      </c>
      <c r="E49" s="74">
        <f>E41*$M$34</f>
        <v>-6.2672499999999989</v>
      </c>
      <c r="F49" s="72"/>
      <c r="G49" s="75"/>
      <c r="H49" s="75"/>
      <c r="I49" s="75"/>
      <c r="J49" s="26"/>
      <c r="K49" s="26"/>
      <c r="M49" s="3"/>
      <c r="N49" s="2"/>
    </row>
    <row r="50" spans="2:15">
      <c r="B50" s="16" t="s">
        <v>143</v>
      </c>
      <c r="C50" s="48">
        <f>C38*$M$34</f>
        <v>-62.672499999999999</v>
      </c>
      <c r="D50" s="48">
        <f>SUM(D44:D49)</f>
        <v>-670.30549999999994</v>
      </c>
      <c r="E50" s="48">
        <f>SUM(E44:E49)</f>
        <v>-670.30549999999994</v>
      </c>
      <c r="F50" s="16"/>
      <c r="G50" s="71">
        <f>G47+G44</f>
        <v>-5.2227083333333333</v>
      </c>
      <c r="H50" s="71">
        <f>H47+H44</f>
        <v>-55.336520833333331</v>
      </c>
      <c r="I50" s="71">
        <f>I47+I44</f>
        <v>-55.336520833333331</v>
      </c>
      <c r="J50" s="26"/>
      <c r="K50" s="26"/>
      <c r="M50" s="3"/>
      <c r="N50" s="2"/>
    </row>
    <row r="51" spans="2:15">
      <c r="C51" s="26"/>
      <c r="D51" s="26"/>
      <c r="E51" s="26"/>
      <c r="G51" s="50"/>
      <c r="H51" s="50"/>
      <c r="I51" s="50"/>
      <c r="J51" s="26"/>
      <c r="K51" s="26"/>
      <c r="M51" s="3"/>
      <c r="N51" s="2"/>
    </row>
    <row r="52" spans="2:15">
      <c r="B52" s="69" t="s">
        <v>144</v>
      </c>
      <c r="C52" s="26"/>
      <c r="D52" s="26"/>
      <c r="E52" s="26"/>
      <c r="G52" s="50"/>
      <c r="H52" s="50"/>
      <c r="I52" s="50"/>
      <c r="J52" s="26"/>
      <c r="K52" s="26"/>
      <c r="M52" s="3"/>
      <c r="N52" s="2"/>
    </row>
    <row r="53" spans="2:15">
      <c r="B53" t="s">
        <v>140</v>
      </c>
      <c r="C53" s="26">
        <f>C32*(1-M34)</f>
        <v>0</v>
      </c>
      <c r="D53" s="26">
        <f>D32*(1-$M$34)</f>
        <v>-632.702</v>
      </c>
      <c r="E53" s="26">
        <f>E32*(1-$M$34)</f>
        <v>-632.702</v>
      </c>
      <c r="G53" s="49">
        <f>G32*(1-$M$34)</f>
        <v>0</v>
      </c>
      <c r="H53" s="49">
        <f>H32*(1-$M$34)</f>
        <v>-52.725166666666667</v>
      </c>
      <c r="I53" s="49">
        <f>I32*(1-$M$34)</f>
        <v>-52.725166666666667</v>
      </c>
      <c r="M53" s="3"/>
      <c r="N53" s="2"/>
    </row>
    <row r="54" spans="2:15">
      <c r="B54" t="s">
        <v>126</v>
      </c>
      <c r="C54" s="68" t="s">
        <v>127</v>
      </c>
      <c r="D54" s="68" t="s">
        <v>127</v>
      </c>
      <c r="E54" s="68" t="s">
        <v>127</v>
      </c>
      <c r="G54" s="68" t="s">
        <v>127</v>
      </c>
      <c r="H54" s="68" t="s">
        <v>127</v>
      </c>
      <c r="I54" s="68" t="s">
        <v>127</v>
      </c>
      <c r="M54" s="3"/>
      <c r="N54" s="2"/>
    </row>
    <row r="55" spans="2:15">
      <c r="B55" t="s">
        <v>141</v>
      </c>
      <c r="C55" s="68" t="s">
        <v>127</v>
      </c>
      <c r="D55" s="26">
        <f>D35</f>
        <v>-253.08079999999995</v>
      </c>
      <c r="E55" s="26">
        <f>E35*$M$34</f>
        <v>0</v>
      </c>
      <c r="G55" s="68" t="s">
        <v>127</v>
      </c>
      <c r="H55" s="49">
        <f>H35</f>
        <v>-21.090066666666662</v>
      </c>
      <c r="I55" s="49">
        <f>I35*(1-M34)</f>
        <v>0</v>
      </c>
      <c r="M55" s="3"/>
      <c r="N55" s="2"/>
    </row>
    <row r="56" spans="2:15">
      <c r="B56" t="s">
        <v>131</v>
      </c>
      <c r="C56" s="26">
        <f>C37*(1-M34)</f>
        <v>-62.672499999999999</v>
      </c>
      <c r="D56" s="26">
        <f>D37*(1-$M$34)</f>
        <v>-31.33625</v>
      </c>
      <c r="E56" s="26">
        <f>E37</f>
        <v>-62.672499999999999</v>
      </c>
      <c r="G56" s="49">
        <f>G37*(1-$M$34)</f>
        <v>-5.2227083333333333</v>
      </c>
      <c r="H56" s="49">
        <f>H37*(1-$M$34)</f>
        <v>-2.6113541666666666</v>
      </c>
      <c r="I56" s="49">
        <f>I37*(1-$M$34)</f>
        <v>-2.6113541666666666</v>
      </c>
      <c r="M56" s="3"/>
      <c r="N56" s="2"/>
    </row>
    <row r="57" spans="2:15">
      <c r="B57" t="s">
        <v>136</v>
      </c>
      <c r="C57" s="68" t="s">
        <v>127</v>
      </c>
      <c r="D57" s="68" t="s">
        <v>127</v>
      </c>
      <c r="E57" s="68" t="s">
        <v>127</v>
      </c>
      <c r="G57" s="68" t="s">
        <v>127</v>
      </c>
      <c r="H57" s="68" t="s">
        <v>127</v>
      </c>
      <c r="I57" s="68" t="s">
        <v>127</v>
      </c>
      <c r="M57" s="3"/>
      <c r="N57" s="2"/>
    </row>
    <row r="58" spans="2:15">
      <c r="B58" s="72" t="s">
        <v>142</v>
      </c>
      <c r="C58" s="73" t="s">
        <v>127</v>
      </c>
      <c r="D58" s="74">
        <f>D41</f>
        <v>-12.534499999999998</v>
      </c>
      <c r="E58" s="74">
        <f>E41*$M$34</f>
        <v>-6.2672499999999989</v>
      </c>
      <c r="F58" s="72"/>
      <c r="G58" s="73" t="s">
        <v>127</v>
      </c>
      <c r="H58" s="75">
        <f>H41</f>
        <v>-1.0445416666666665</v>
      </c>
      <c r="I58" s="75">
        <f>I41*(1-M34)</f>
        <v>-0.52227083333333324</v>
      </c>
      <c r="M58" s="3"/>
      <c r="N58" s="2"/>
    </row>
    <row r="59" spans="2:15">
      <c r="B59" s="16" t="s">
        <v>145</v>
      </c>
      <c r="C59" s="48">
        <f>C38*$M$34</f>
        <v>-62.672499999999999</v>
      </c>
      <c r="D59" s="48">
        <f>SUM(D53:D58)</f>
        <v>-929.65354999999988</v>
      </c>
      <c r="E59" s="48">
        <f>SUM(E53:E58)</f>
        <v>-701.64175</v>
      </c>
      <c r="F59" s="16"/>
      <c r="G59" s="70">
        <f>G56+G53</f>
        <v>-5.2227083333333333</v>
      </c>
      <c r="H59" s="70">
        <f>H56+H53</f>
        <v>-55.336520833333331</v>
      </c>
      <c r="I59" s="70">
        <f>I56+I53</f>
        <v>-55.336520833333331</v>
      </c>
      <c r="K59" s="26"/>
      <c r="L59" s="26"/>
      <c r="M59" s="3"/>
      <c r="N59" s="2"/>
    </row>
    <row r="60" spans="2:15">
      <c r="C60" s="77"/>
      <c r="D60" s="77"/>
      <c r="E60" s="76"/>
      <c r="K60" s="26"/>
      <c r="L60" s="26"/>
    </row>
    <row r="61" spans="2:15" ht="14.65" thickBot="1">
      <c r="B61" s="14" t="s">
        <v>146</v>
      </c>
      <c r="C61" s="14"/>
      <c r="D61" s="14"/>
      <c r="E61" s="14"/>
      <c r="F61" s="14"/>
      <c r="G61" s="14"/>
      <c r="H61" s="14"/>
      <c r="I61" s="14"/>
      <c r="J61" s="14"/>
      <c r="K61" s="14"/>
      <c r="L61" s="14"/>
      <c r="M61" s="14"/>
      <c r="N61" s="14"/>
      <c r="O61" s="14"/>
    </row>
    <row r="64" spans="2:15">
      <c r="C64" s="138" t="s">
        <v>147</v>
      </c>
      <c r="D64" s="138"/>
      <c r="E64" s="139"/>
      <c r="G64" s="136" t="s">
        <v>115</v>
      </c>
      <c r="H64" s="137"/>
      <c r="I64" s="137"/>
      <c r="L64" s="16" t="s">
        <v>116</v>
      </c>
    </row>
    <row r="65" spans="2:17">
      <c r="C65" s="16" t="s">
        <v>39</v>
      </c>
      <c r="D65" s="16" t="s">
        <v>105</v>
      </c>
      <c r="E65" s="17" t="s">
        <v>106</v>
      </c>
      <c r="G65" s="17" t="s">
        <v>39</v>
      </c>
      <c r="H65" s="17" t="s">
        <v>105</v>
      </c>
      <c r="I65" s="17" t="s">
        <v>106</v>
      </c>
    </row>
    <row r="66" spans="2:17">
      <c r="B66" t="s">
        <v>19</v>
      </c>
      <c r="C66" s="13">
        <f>G18*12</f>
        <v>0</v>
      </c>
      <c r="D66" s="13" t="e">
        <f>H18*12</f>
        <v>#DIV/0!</v>
      </c>
      <c r="E66" s="13" t="e">
        <f>I18*12</f>
        <v>#DIV/0!</v>
      </c>
      <c r="G66" s="13">
        <f>G18</f>
        <v>0</v>
      </c>
      <c r="H66" s="13" t="e">
        <f>H18</f>
        <v>#DIV/0!</v>
      </c>
      <c r="I66" s="13" t="e">
        <f>I18</f>
        <v>#DIV/0!</v>
      </c>
    </row>
    <row r="67" spans="2:17">
      <c r="B67" t="s">
        <v>148</v>
      </c>
      <c r="L67" t="s">
        <v>149</v>
      </c>
    </row>
    <row r="68" spans="2:17">
      <c r="B68" t="s">
        <v>150</v>
      </c>
      <c r="C68">
        <f>IF(C86&lt;=$M$68,$N$68,0)</f>
        <v>3070</v>
      </c>
      <c r="D68">
        <f>IF(D18&lt;=$M$68,$N$68,0)</f>
        <v>3070</v>
      </c>
      <c r="E68">
        <f>IF(E18&lt;=$M$68,$N$68,0)</f>
        <v>3070</v>
      </c>
      <c r="G68" s="65">
        <f>IF(K86*12&lt;=$M$68,$N$68,0)/12</f>
        <v>255.83333333333334</v>
      </c>
      <c r="H68" s="65" t="e">
        <f>IF(L86*12&lt;=$M$68,$N$68,0)/12</f>
        <v>#DIV/0!</v>
      </c>
      <c r="I68" s="65" t="e">
        <f>IF(M86*12&lt;=$M$68,$N$68,0)/12</f>
        <v>#DIV/0!</v>
      </c>
      <c r="L68" s="3" t="s">
        <v>151</v>
      </c>
      <c r="M68" s="13">
        <f>Basistabellen!D86</f>
        <v>22660</v>
      </c>
      <c r="N68" s="52">
        <f>Basistabellen!F86</f>
        <v>3070</v>
      </c>
      <c r="P68" s="29"/>
    </row>
    <row r="69" spans="2:17">
      <c r="B69" t="s">
        <v>152</v>
      </c>
      <c r="C69" s="13">
        <f>IF(AND(C86&gt;$M$68,C86&lt;=$M$69),$N$68-6.095%*(C86-$M$68),0)</f>
        <v>0</v>
      </c>
      <c r="D69" s="13">
        <f>IF(AND(D18&gt;$M$68,D18&lt;=$M$69),$N$68-(6.095%*(D18-$M$68)),0)</f>
        <v>0</v>
      </c>
      <c r="E69" s="13">
        <f>IF(AND(E18&gt;$M$68,E18&lt;=$M$69),$N$68-(6.095%*(E18-$M$68)),0)</f>
        <v>0</v>
      </c>
      <c r="F69" s="13"/>
      <c r="G69" s="65">
        <f>IF(AND(G86&gt;$M$68,G86&lt;=$M$69),$N$68-(6.095%*(G86-$M$68)),0)/12</f>
        <v>0</v>
      </c>
      <c r="H69" s="65" t="e">
        <f>IF(AND(H86&gt;$M$68,H86&lt;=$M$69),$N$68-(6.095%*(H86-$M$68)),0)/12</f>
        <v>#DIV/0!</v>
      </c>
      <c r="I69" s="65" t="e">
        <f>IF(AND(I86&gt;$M$68,I86&lt;=$M$69),$N$68-(6.095%*(I86-$M$68)),0)/12</f>
        <v>#DIV/0!</v>
      </c>
      <c r="J69" s="66"/>
      <c r="L69" t="s">
        <v>153</v>
      </c>
      <c r="M69" s="13">
        <f>Basistabellen!D87</f>
        <v>73030</v>
      </c>
      <c r="N69" s="53" t="s">
        <v>154</v>
      </c>
      <c r="O69" t="str">
        <f>Basistabellen!J87</f>
        <v>€ 3.070 - 6,095% x (belastbaar inkomen uit werk en woning - € 22.660)</v>
      </c>
      <c r="P69" s="27"/>
      <c r="Q69" s="47"/>
    </row>
    <row r="70" spans="2:17">
      <c r="B70" t="s">
        <v>155</v>
      </c>
      <c r="C70">
        <v>0</v>
      </c>
      <c r="D70">
        <v>0</v>
      </c>
      <c r="E70">
        <v>0</v>
      </c>
      <c r="G70" s="65">
        <v>0</v>
      </c>
      <c r="H70" s="65">
        <v>0</v>
      </c>
      <c r="I70" s="65">
        <v>1</v>
      </c>
      <c r="J70" s="27"/>
      <c r="L70" t="s">
        <v>156</v>
      </c>
      <c r="M70" s="13">
        <f>Basistabellen!C88</f>
        <v>73031</v>
      </c>
      <c r="N70" s="24">
        <v>0</v>
      </c>
      <c r="P70" s="45"/>
      <c r="Q70" s="47"/>
    </row>
    <row r="71" spans="2:17">
      <c r="G71" s="65"/>
      <c r="H71" s="65"/>
      <c r="I71" s="65"/>
      <c r="J71" s="27"/>
      <c r="N71" s="1"/>
      <c r="P71" s="45"/>
      <c r="Q71" s="47"/>
    </row>
    <row r="72" spans="2:17">
      <c r="B72" t="s">
        <v>157</v>
      </c>
      <c r="C72" s="13">
        <f>ROUND(SUM(C68:C70),0)</f>
        <v>3070</v>
      </c>
      <c r="D72" s="13">
        <f>SUM(D68:D70)</f>
        <v>3070</v>
      </c>
      <c r="E72" s="13">
        <f>SUM(E68:E70)</f>
        <v>3070</v>
      </c>
      <c r="G72" s="65">
        <f>SUM(G68:G70)</f>
        <v>255.83333333333334</v>
      </c>
      <c r="H72" s="65" t="e">
        <f>SUM(H68:H70)</f>
        <v>#DIV/0!</v>
      </c>
      <c r="I72" s="65" t="e">
        <f>SUM(I68:I70)</f>
        <v>#DIV/0!</v>
      </c>
      <c r="J72" s="45"/>
      <c r="M72" s="52"/>
      <c r="P72" s="45"/>
      <c r="Q72" s="47"/>
    </row>
    <row r="73" spans="2:17">
      <c r="J73" s="27"/>
      <c r="P73" s="46"/>
      <c r="Q73" s="47"/>
    </row>
    <row r="74" spans="2:17">
      <c r="B74" t="s">
        <v>158</v>
      </c>
      <c r="C74" s="13">
        <f>ROUND(Basistabellen!F77,0)</f>
        <v>0</v>
      </c>
      <c r="D74" s="13">
        <f>Basistabellen!F77</f>
        <v>0</v>
      </c>
      <c r="E74" s="13" t="e">
        <f>Basistabellen!G77</f>
        <v>#DIV/0!</v>
      </c>
      <c r="G74" s="26">
        <f>C74/12</f>
        <v>0</v>
      </c>
      <c r="H74" s="13">
        <f>D74/12</f>
        <v>0</v>
      </c>
      <c r="I74" s="13" t="e">
        <f>E74/12</f>
        <v>#DIV/0!</v>
      </c>
      <c r="J74" s="46"/>
      <c r="L74" t="s">
        <v>158</v>
      </c>
      <c r="P74" s="27"/>
      <c r="Q74" s="47"/>
    </row>
    <row r="75" spans="2:17">
      <c r="C75" s="13"/>
      <c r="D75" s="13"/>
      <c r="E75" s="13"/>
      <c r="G75" s="26"/>
      <c r="H75" s="26"/>
      <c r="I75" s="13"/>
      <c r="J75" s="46"/>
      <c r="L75" t="s">
        <v>159</v>
      </c>
      <c r="N75" s="13"/>
      <c r="P75" s="27"/>
      <c r="Q75" s="47"/>
    </row>
    <row r="76" spans="2:17">
      <c r="J76" s="27"/>
      <c r="P76" s="46"/>
      <c r="Q76" s="47"/>
    </row>
    <row r="77" spans="2:17">
      <c r="J77" s="46"/>
    </row>
    <row r="78" spans="2:17" ht="14.65" thickBot="1">
      <c r="B78" s="14" t="s">
        <v>160</v>
      </c>
      <c r="C78" s="14"/>
      <c r="D78" s="14"/>
      <c r="E78" s="14"/>
      <c r="F78" s="14"/>
      <c r="G78" s="14"/>
      <c r="H78" s="14"/>
      <c r="I78" s="14"/>
      <c r="J78" s="14"/>
      <c r="K78" s="14"/>
      <c r="L78" s="14"/>
      <c r="M78" s="14"/>
      <c r="N78" s="14"/>
      <c r="O78" s="14"/>
    </row>
    <row r="81" spans="2:13">
      <c r="C81" s="138" t="s">
        <v>102</v>
      </c>
      <c r="D81" s="138"/>
      <c r="E81" s="139"/>
      <c r="G81" s="138" t="s">
        <v>161</v>
      </c>
      <c r="H81" s="138"/>
      <c r="I81" s="139"/>
      <c r="K81" s="136" t="s">
        <v>103</v>
      </c>
      <c r="L81" s="137"/>
    </row>
    <row r="82" spans="2:13">
      <c r="C82" s="16" t="s">
        <v>39</v>
      </c>
      <c r="D82" s="16" t="s">
        <v>105</v>
      </c>
      <c r="E82" s="17" t="s">
        <v>106</v>
      </c>
      <c r="G82" s="16" t="s">
        <v>39</v>
      </c>
      <c r="H82" s="16" t="s">
        <v>105</v>
      </c>
      <c r="I82" s="17" t="s">
        <v>106</v>
      </c>
      <c r="K82" s="16" t="s">
        <v>39</v>
      </c>
      <c r="L82" s="16" t="s">
        <v>105</v>
      </c>
      <c r="M82" s="78" t="s">
        <v>106</v>
      </c>
    </row>
    <row r="83" spans="2:13">
      <c r="B83" t="s">
        <v>97</v>
      </c>
      <c r="C83" s="13">
        <f>C18</f>
        <v>0</v>
      </c>
      <c r="D83" s="13">
        <f>D18</f>
        <v>0</v>
      </c>
      <c r="E83" s="13">
        <f>E18</f>
        <v>0</v>
      </c>
      <c r="G83" s="13">
        <f>C66</f>
        <v>0</v>
      </c>
      <c r="H83" s="13" t="e">
        <f>D66</f>
        <v>#DIV/0!</v>
      </c>
      <c r="I83" s="13" t="e">
        <f>E66</f>
        <v>#DIV/0!</v>
      </c>
      <c r="K83" s="13">
        <f>G18</f>
        <v>0</v>
      </c>
      <c r="L83" s="13" t="e">
        <f>H18</f>
        <v>#DIV/0!</v>
      </c>
      <c r="M83" s="13" t="e">
        <f>I18</f>
        <v>#DIV/0!</v>
      </c>
    </row>
    <row r="84" spans="2:13">
      <c r="B84" t="s">
        <v>162</v>
      </c>
      <c r="C84" s="13">
        <f>-SUM(C53:C55)</f>
        <v>0</v>
      </c>
      <c r="D84" s="13">
        <f>-D59</f>
        <v>929.65354999999988</v>
      </c>
      <c r="E84" s="13">
        <f>-E59</f>
        <v>701.64175</v>
      </c>
      <c r="G84" s="13">
        <f>C84</f>
        <v>0</v>
      </c>
      <c r="H84" s="13">
        <f>D84</f>
        <v>929.65354999999988</v>
      </c>
      <c r="I84" s="13">
        <f>E84</f>
        <v>701.64175</v>
      </c>
      <c r="K84" s="26">
        <f>-G53</f>
        <v>0</v>
      </c>
      <c r="L84" s="26">
        <f>-H53</f>
        <v>52.725166666666667</v>
      </c>
      <c r="M84" s="26">
        <f>-I53</f>
        <v>52.725166666666667</v>
      </c>
    </row>
    <row r="85" spans="2:13">
      <c r="B85" t="s">
        <v>163</v>
      </c>
      <c r="C85" s="13">
        <f>-SUM(C56:C58)</f>
        <v>62.672499999999999</v>
      </c>
      <c r="D85" s="13">
        <f t="shared" ref="D85:E85" si="1">-SUM(D56:D58)</f>
        <v>43.870750000000001</v>
      </c>
      <c r="E85" s="13">
        <f t="shared" si="1"/>
        <v>68.939750000000004</v>
      </c>
      <c r="G85" s="13">
        <f>-SUM(C56:C58)</f>
        <v>62.672499999999999</v>
      </c>
      <c r="H85" s="13">
        <f t="shared" ref="H85:I85" si="2">-SUM(D56:D58)</f>
        <v>43.870750000000001</v>
      </c>
      <c r="I85" s="13">
        <f t="shared" si="2"/>
        <v>68.939750000000004</v>
      </c>
      <c r="K85" s="26">
        <f>-G56</f>
        <v>5.2227083333333333</v>
      </c>
      <c r="L85" s="26">
        <f t="shared" ref="L85:M85" si="3">-H56</f>
        <v>2.6113541666666666</v>
      </c>
      <c r="M85" s="26">
        <f t="shared" si="3"/>
        <v>2.6113541666666666</v>
      </c>
    </row>
    <row r="86" spans="2:13">
      <c r="B86" s="16" t="s">
        <v>111</v>
      </c>
      <c r="C86" s="19">
        <f>ROUND(C83+C84,0)</f>
        <v>0</v>
      </c>
      <c r="D86" s="19">
        <f>D83+D84</f>
        <v>929.65354999999988</v>
      </c>
      <c r="E86" s="19">
        <f>E83+E84</f>
        <v>701.64175</v>
      </c>
      <c r="G86" s="19">
        <f>G83+G84+G85</f>
        <v>62.672499999999999</v>
      </c>
      <c r="H86" s="19" t="e">
        <f>H83+H84</f>
        <v>#DIV/0!</v>
      </c>
      <c r="I86" s="19" t="e">
        <f>I83+I84</f>
        <v>#DIV/0!</v>
      </c>
      <c r="K86" s="48">
        <f>SUM(K83:K85)</f>
        <v>5.2227083333333333</v>
      </c>
      <c r="L86" s="19" t="e">
        <f>SUM(L83:L84)</f>
        <v>#DIV/0!</v>
      </c>
      <c r="M86" s="19" t="e">
        <f>SUM(M83:M84)</f>
        <v>#DIV/0!</v>
      </c>
    </row>
    <row r="87" spans="2:13">
      <c r="C87" s="26"/>
    </row>
    <row r="88" spans="2:13">
      <c r="B88" t="s">
        <v>164</v>
      </c>
      <c r="C88" s="13">
        <f>IF(C86&gt;$M$18,(C86-$M$18)*$N$19+($M$18*$N$18),C86*$N$18)</f>
        <v>0</v>
      </c>
      <c r="D88" s="13">
        <f>IF(D86&gt;$M$18,(D86-$M$18)*$N$19+($M$18*$N$18),D86*$N$18)</f>
        <v>343.32105601499995</v>
      </c>
      <c r="E88" s="13">
        <f>IF(E86&gt;$M$18,(E86-$M$18)*$N$19+($M$18*$N$18),E86*$N$18)</f>
        <v>259.11629827500002</v>
      </c>
      <c r="G88" s="13">
        <f>IF(G86&gt;$M$18,(G86-$M$18)*$N$19+($M$18*$N$18),G86*$N$18)</f>
        <v>23.144954250000001</v>
      </c>
      <c r="H88" s="13" t="e">
        <f>IF(H86&gt;$M$18,(H86-$M$18)*$N$19+($M$18*$N$18),H86*$N$18)</f>
        <v>#DIV/0!</v>
      </c>
      <c r="I88" s="13" t="e">
        <f>IF(I86&gt;$M$18,(I86-$M$18)*$N$19+($M$18*$N$18),I86*$N$18)</f>
        <v>#DIV/0!</v>
      </c>
      <c r="K88" s="26">
        <f>G88/12</f>
        <v>1.9287461875</v>
      </c>
      <c r="L88" s="26" t="e">
        <f>H88/12</f>
        <v>#DIV/0!</v>
      </c>
      <c r="M88" s="26" t="e">
        <f>I88/12</f>
        <v>#DIV/0!</v>
      </c>
    </row>
    <row r="89" spans="2:13">
      <c r="B89" t="s">
        <v>148</v>
      </c>
      <c r="C89" s="13">
        <f>-C72</f>
        <v>-3070</v>
      </c>
      <c r="D89" s="13">
        <f>-D72</f>
        <v>-3070</v>
      </c>
      <c r="E89" s="13">
        <f>-E72</f>
        <v>-3070</v>
      </c>
      <c r="G89" s="13">
        <f>-G72*12</f>
        <v>-3070</v>
      </c>
      <c r="H89" s="13" t="e">
        <f>-H72*12</f>
        <v>#DIV/0!</v>
      </c>
      <c r="I89" s="13" t="e">
        <f>-I72*12</f>
        <v>#DIV/0!</v>
      </c>
      <c r="K89" s="26">
        <f>G89/12</f>
        <v>-255.83333333333334</v>
      </c>
      <c r="L89" s="26" t="e">
        <f>-H72</f>
        <v>#DIV/0!</v>
      </c>
      <c r="M89" s="26" t="e">
        <f>-I72</f>
        <v>#DIV/0!</v>
      </c>
    </row>
    <row r="90" spans="2:13">
      <c r="B90" t="s">
        <v>158</v>
      </c>
      <c r="C90" s="13">
        <f>-C74</f>
        <v>0</v>
      </c>
      <c r="D90" s="13">
        <f>-D74</f>
        <v>0</v>
      </c>
      <c r="E90" s="13" t="e">
        <f>-E74</f>
        <v>#DIV/0!</v>
      </c>
      <c r="G90" s="13">
        <f>-C74</f>
        <v>0</v>
      </c>
      <c r="H90" s="13">
        <f>-D74</f>
        <v>0</v>
      </c>
      <c r="I90" s="13" t="e">
        <f>-E74</f>
        <v>#DIV/0!</v>
      </c>
      <c r="K90" s="26">
        <f>G90/12</f>
        <v>0</v>
      </c>
      <c r="L90" s="26">
        <f>-H74</f>
        <v>0</v>
      </c>
      <c r="M90" s="26" t="e">
        <f>-I74</f>
        <v>#DIV/0!</v>
      </c>
    </row>
    <row r="91" spans="2:13">
      <c r="B91" s="16" t="s">
        <v>165</v>
      </c>
      <c r="C91" s="19">
        <f>SUM(C88:C90)</f>
        <v>-3070</v>
      </c>
      <c r="D91" s="19">
        <f>SUM(D88:D90)</f>
        <v>-2726.6789439849999</v>
      </c>
      <c r="E91" s="19" t="e">
        <f>SUM(E88:E90)</f>
        <v>#DIV/0!</v>
      </c>
      <c r="G91" s="19">
        <f>SUM(G88:G90)</f>
        <v>-3046.85504575</v>
      </c>
      <c r="H91" s="19" t="e">
        <f>SUM(H88:H90)</f>
        <v>#DIV/0!</v>
      </c>
      <c r="I91" s="19" t="e">
        <f>SUM(I88:I90)</f>
        <v>#DIV/0!</v>
      </c>
      <c r="K91" s="48">
        <f>SUM(K88:K90)</f>
        <v>-253.90458714583335</v>
      </c>
      <c r="L91" s="19" t="e">
        <f>SUM(L88:L90)</f>
        <v>#DIV/0!</v>
      </c>
      <c r="M91" s="19" t="e">
        <f>SUM(M88:M90)</f>
        <v>#DIV/0!</v>
      </c>
    </row>
    <row r="93" spans="2:13">
      <c r="B93" s="16" t="s">
        <v>166</v>
      </c>
      <c r="C93" s="19">
        <f>C86-C91</f>
        <v>3070</v>
      </c>
      <c r="D93" s="19">
        <f>D86-D91</f>
        <v>3656.3324939849999</v>
      </c>
      <c r="E93" s="19" t="e">
        <f>E86-E91</f>
        <v>#DIV/0!</v>
      </c>
      <c r="G93" s="19">
        <f>G86-G91</f>
        <v>3109.5275457500002</v>
      </c>
      <c r="H93" s="19" t="e">
        <f>H86-H91</f>
        <v>#DIV/0!</v>
      </c>
      <c r="I93" s="19" t="e">
        <f>I86-I91</f>
        <v>#DIV/0!</v>
      </c>
      <c r="K93" s="48">
        <f>G93/12</f>
        <v>259.12729547916666</v>
      </c>
      <c r="L93" s="19" t="e">
        <f>L86-L91</f>
        <v>#DIV/0!</v>
      </c>
      <c r="M93" s="19" t="e">
        <f>M86-M91</f>
        <v>#DIV/0!</v>
      </c>
    </row>
    <row r="94" spans="2:13">
      <c r="G94" s="13"/>
    </row>
    <row r="95" spans="2:13">
      <c r="C95" s="13">
        <f>IF(C86&gt;$M$18,(C86-$M$18)*$N$19+($M$18*$N$18),C86*$N$18)</f>
        <v>0</v>
      </c>
      <c r="D95" s="13">
        <f>IF(D86&gt;$M$18,(D86-$M$18)*$N$19+($M$18*$N$18),D86*$N$18)</f>
        <v>343.32105601499995</v>
      </c>
      <c r="E95" s="13">
        <f>IF(E86&gt;$M$18,(E86-$M$18)*$N$19+($M$18*$N$18),E86*$N$18)</f>
        <v>259.11629827500002</v>
      </c>
      <c r="G95" s="13">
        <f>IF(G86&gt;$M$18,(G86-$M$18)*$N$19+($M$18*$N$18),G86*$N$18)</f>
        <v>23.144954250000001</v>
      </c>
      <c r="H95" s="13" t="e">
        <f>IF(H86&gt;$M$18,(H86-$M$18)*$N$19+($M$18*$N$18),H86*$N$18)</f>
        <v>#DIV/0!</v>
      </c>
      <c r="I95" s="13" t="e">
        <f>IF(I86&gt;$M$18,(I86-$M$18)*$N$19+($M$18*$N$18),I86*$N$18)</f>
        <v>#DIV/0!</v>
      </c>
      <c r="K95" s="13">
        <f>IF(K86&gt;$M$18,(K86-$M$18)*$N$19+($M$18*$N$18),K86*$N$18)</f>
        <v>1.9287461875</v>
      </c>
      <c r="L95" s="13" t="e">
        <f>IF(L86&gt;$M$18,(L86-$M$18)*$N$19+($M$18*$N$18),L86*$N$18)</f>
        <v>#DIV/0!</v>
      </c>
      <c r="M95" s="13" t="e">
        <f>IF(M86&gt;$M$18,(M86-$M$18)*$N$19+($M$18*$N$18),M86*$N$18)</f>
        <v>#DIV/0!</v>
      </c>
    </row>
    <row r="96" spans="2:13">
      <c r="C96" s="13">
        <f>C95+C90</f>
        <v>0</v>
      </c>
      <c r="D96" s="13">
        <f>D95+D90+D89</f>
        <v>-2726.6789439849999</v>
      </c>
      <c r="E96" s="13" t="e">
        <f>E95+E90+E89</f>
        <v>#DIV/0!</v>
      </c>
      <c r="G96" s="13">
        <f>G95+G90</f>
        <v>23.144954250000001</v>
      </c>
      <c r="H96" s="13" t="e">
        <f>H95+H90+H89</f>
        <v>#DIV/0!</v>
      </c>
      <c r="I96" s="13" t="e">
        <f>I95+I90+I89</f>
        <v>#DIV/0!</v>
      </c>
      <c r="K96" s="13">
        <f>K95+K90+K89</f>
        <v>-253.90458714583335</v>
      </c>
      <c r="L96" s="13" t="e">
        <f>L95+L90+L89</f>
        <v>#DIV/0!</v>
      </c>
      <c r="M96" s="13" t="e">
        <f>M95+M90+M89</f>
        <v>#DIV/0!</v>
      </c>
    </row>
    <row r="97" spans="3:13">
      <c r="C97" s="13">
        <f>C86-C96</f>
        <v>0</v>
      </c>
      <c r="D97" s="13">
        <f>D86-D96</f>
        <v>3656.3324939849999</v>
      </c>
      <c r="E97" s="13" t="e">
        <f>E86-E96</f>
        <v>#DIV/0!</v>
      </c>
      <c r="G97" s="13">
        <f>G86-G96</f>
        <v>39.527545750000002</v>
      </c>
      <c r="H97" s="13" t="e">
        <f>H86-H96</f>
        <v>#DIV/0!</v>
      </c>
      <c r="I97" s="13" t="e">
        <f>I86-I96</f>
        <v>#DIV/0!</v>
      </c>
      <c r="K97" s="13">
        <f>K86-K96</f>
        <v>259.12729547916666</v>
      </c>
      <c r="L97" s="13" t="e">
        <f>L86-L96</f>
        <v>#DIV/0!</v>
      </c>
      <c r="M97" s="13" t="e">
        <f>M86-M96</f>
        <v>#DIV/0!</v>
      </c>
    </row>
    <row r="98" spans="3:13">
      <c r="D98" s="13">
        <f>+B97-D97</f>
        <v>-3656.3324939849999</v>
      </c>
      <c r="E98" s="13" t="e">
        <f>+C97-E97</f>
        <v>#DIV/0!</v>
      </c>
      <c r="H98" s="13" t="e">
        <f>+F97-H97</f>
        <v>#DIV/0!</v>
      </c>
      <c r="I98" s="13" t="e">
        <f>+G97-I97</f>
        <v>#DIV/0!</v>
      </c>
      <c r="L98" s="13" t="e">
        <f>+J97-L97</f>
        <v>#DIV/0!</v>
      </c>
      <c r="M98" s="13" t="e">
        <f>+K97-M97</f>
        <v>#DIV/0!</v>
      </c>
    </row>
    <row r="99" spans="3:13">
      <c r="K99" s="26"/>
    </row>
  </sheetData>
  <sheetProtection algorithmName="SHA-512" hashValue="qAxa6TWdLTdMFbjvwfBRQ9fKSY6TxN0+OdVOrAzD3FpOptOjWKGVvFWZId2415TlJjPqE9+5TiSHuOGGnwvwhw==" saltValue="YMCR9prgxH+ZrLf08UpwKQ==" spinCount="100000" sheet="1" objects="1" scenarios="1"/>
  <mergeCells count="9">
    <mergeCell ref="K81:L81"/>
    <mergeCell ref="C81:E81"/>
    <mergeCell ref="C16:E16"/>
    <mergeCell ref="G16:I16"/>
    <mergeCell ref="C28:E28"/>
    <mergeCell ref="G28:I28"/>
    <mergeCell ref="C64:E64"/>
    <mergeCell ref="G64:I64"/>
    <mergeCell ref="G81:I81"/>
  </mergeCells>
  <pageMargins left="0.7" right="0.7" top="0.75" bottom="0.75" header="0.3" footer="0.3"/>
  <pageSetup paperSize="9" orientation="portrait" r:id="rId1"/>
  <ignoredErrors>
    <ignoredError sqref="G31:I31" 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ABE10-1B93-4BA0-A541-F2DE2873A5C6}">
  <sheetPr codeName="Blad11">
    <tabColor rgb="FFF9A503"/>
  </sheetPr>
  <dimension ref="A2:J62"/>
  <sheetViews>
    <sheetView workbookViewId="0">
      <selection activeCell="F10" sqref="F10:H12"/>
    </sheetView>
  </sheetViews>
  <sheetFormatPr defaultRowHeight="14.25"/>
  <cols>
    <col min="2" max="2" width="55.53125" customWidth="1"/>
    <col min="3" max="3" width="29.86328125" customWidth="1"/>
    <col min="4" max="7" width="25.1328125" customWidth="1"/>
    <col min="8" max="8" width="20.86328125" customWidth="1"/>
    <col min="9" max="9" width="10" bestFit="1" customWidth="1"/>
    <col min="10" max="10" width="10.46484375" bestFit="1" customWidth="1"/>
  </cols>
  <sheetData>
    <row r="2" spans="2:10" ht="18">
      <c r="B2" s="5" t="s">
        <v>167</v>
      </c>
      <c r="C2" s="35"/>
    </row>
    <row r="4" spans="2:10" ht="14.65" thickBot="1">
      <c r="B4" s="14" t="s">
        <v>168</v>
      </c>
      <c r="C4" s="14"/>
      <c r="D4" s="14"/>
      <c r="G4" s="35"/>
    </row>
    <row r="5" spans="2:10">
      <c r="D5" s="37" t="s">
        <v>169</v>
      </c>
      <c r="G5" t="s">
        <v>5</v>
      </c>
      <c r="J5" s="35"/>
    </row>
    <row r="6" spans="2:10">
      <c r="B6" t="s">
        <v>170</v>
      </c>
      <c r="C6" s="31" t="str">
        <f>IF(ISBLANK('Kan ik deelnemen '!C38),"",EDATE('Kan ik deelnemen '!C38,VLOOKUP('Kan ik deelnemen '!C38,Basistabellen!$B$28:$E$38,4,TRUE)))</f>
        <v/>
      </c>
      <c r="D6" s="24" t="str">
        <f>TEXT(C6,"mmmm jjjj")</f>
        <v/>
      </c>
      <c r="E6" s="27"/>
      <c r="F6" s="99"/>
      <c r="G6" s="35"/>
      <c r="J6" s="35"/>
    </row>
    <row r="7" spans="2:10">
      <c r="B7" t="s">
        <v>171</v>
      </c>
      <c r="C7" s="31" t="e">
        <f>EDATE(C6,-3)</f>
        <v>#VALUE!</v>
      </c>
      <c r="D7" s="24"/>
      <c r="E7" t="e">
        <f ca="1">IF(C7&lt;TODAY(),0,1)</f>
        <v>#VALUE!</v>
      </c>
      <c r="F7" s="56"/>
      <c r="G7" s="35"/>
      <c r="J7" s="35"/>
    </row>
    <row r="8" spans="2:10">
      <c r="B8" t="s">
        <v>172</v>
      </c>
      <c r="C8" s="32" t="e">
        <f>IF(ISBLANK(C6),"",EDATE(C6,12*-4+1)-DAY(C6)+1)</f>
        <v>#VALUE!</v>
      </c>
      <c r="D8" s="24" t="e">
        <f>VLOOKUP(MONTH(C8),Basistabellen!$B$42:$C$53,2,FALSE)&amp;" "&amp;YEAR(Rekenblad!C8)</f>
        <v>#VALUE!</v>
      </c>
      <c r="E8" t="e">
        <f ca="1">IF(C8&lt;=TODAY(),1,0)</f>
        <v>#VALUE!</v>
      </c>
      <c r="G8" s="35"/>
    </row>
    <row r="9" spans="2:10">
      <c r="B9" t="s">
        <v>173</v>
      </c>
      <c r="C9" s="32" t="str">
        <f>IF(ISBLANK('Kan ik deelnemen '!C45),"",EDATE('Kan ik deelnemen '!C45,12*5+1)-DAY('Kan ik deelnemen '!C45)+1)</f>
        <v/>
      </c>
      <c r="E9">
        <f ca="1">IF(C9&gt;TODAY(),0,1)</f>
        <v>0</v>
      </c>
    </row>
    <row r="10" spans="2:10">
      <c r="B10" t="s">
        <v>174</v>
      </c>
      <c r="C10" s="32">
        <f ca="1">DATE(YEAR(TODAY()),MONTH(TODAY())+1,1)</f>
        <v>45170</v>
      </c>
      <c r="D10" s="24" t="str">
        <f ca="1">"1 "&amp;TEXT(C10,"mmmm jjjj")</f>
        <v>1 september 2023</v>
      </c>
      <c r="E10" s="34"/>
      <c r="F10" s="35"/>
      <c r="H10" s="35"/>
    </row>
    <row r="11" spans="2:10">
      <c r="B11" t="s">
        <v>175</v>
      </c>
      <c r="C11" s="32" t="str">
        <f>IFERROR(MAX(C8:C10),"")</f>
        <v/>
      </c>
      <c r="D11" s="24" t="str">
        <f>TEXT(C11,"d mmmm jjjj")</f>
        <v/>
      </c>
      <c r="E11" s="34" t="e">
        <f>IF(OR(C8="",C9=""),"",MAX(C8:C10))</f>
        <v>#VALUE!</v>
      </c>
      <c r="F11" s="34"/>
      <c r="G11" s="35"/>
    </row>
    <row r="12" spans="2:10">
      <c r="B12" t="s">
        <v>176</v>
      </c>
      <c r="C12" s="81" t="str">
        <f ca="1">IFERROR(EDATE(C10,1)-DAY(Startdatum)+1,"")</f>
        <v/>
      </c>
      <c r="D12" s="24"/>
      <c r="E12" s="34"/>
      <c r="F12" s="35"/>
    </row>
    <row r="13" spans="2:10">
      <c r="B13" t="s">
        <v>5</v>
      </c>
      <c r="C13" s="30"/>
    </row>
    <row r="14" spans="2:10" ht="14.65" thickBot="1">
      <c r="B14" s="14" t="s">
        <v>34</v>
      </c>
      <c r="C14" s="14"/>
      <c r="D14" s="14"/>
    </row>
    <row r="16" spans="2:10">
      <c r="B16" t="s">
        <v>177</v>
      </c>
      <c r="C16" s="33" t="str">
        <f>IFERROR(DATEDIF(Startdatum,C6,"M"),"")</f>
        <v/>
      </c>
      <c r="E16" s="27"/>
    </row>
    <row r="17" spans="2:8">
      <c r="B17" s="24" t="s">
        <v>178</v>
      </c>
      <c r="C17" s="33" t="str">
        <f>IFERROR(ROUNDDOWN(C16/12,0),"")</f>
        <v/>
      </c>
      <c r="D17" s="36" t="str">
        <f>IF(OR(C17="",C17=0),"","jaar")</f>
        <v/>
      </c>
      <c r="E17" t="str">
        <f>IF(OR(C17&lt;=0,C17=""),"",C17&amp;" jaar")</f>
        <v/>
      </c>
    </row>
    <row r="18" spans="2:8">
      <c r="B18" s="24" t="s">
        <v>179</v>
      </c>
      <c r="C18" s="33" t="str">
        <f>IFERROR(C16-ROUNDDOWN(C16/12,0)*12,"")</f>
        <v/>
      </c>
      <c r="D18" s="33" t="str">
        <f>IF(OR(C18="",C18=0),"",IF(C18=1,"maand","maanden"))</f>
        <v/>
      </c>
      <c r="E18" t="str">
        <f>IF(C18&lt;=0,"",C18&amp;" "&amp;D18)</f>
        <v xml:space="preserve"> </v>
      </c>
    </row>
    <row r="19" spans="2:8">
      <c r="B19" s="24"/>
      <c r="E19" t="str">
        <f>IF(AND(E17="",E18=""),"",IF(E17="",E18,IF(E18="",E17,E17&amp;" en "&amp;E18)))</f>
        <v xml:space="preserve"> </v>
      </c>
    </row>
    <row r="20" spans="2:8">
      <c r="B20" s="24"/>
      <c r="F20" s="80"/>
    </row>
    <row r="21" spans="2:8" ht="14.65" thickBot="1">
      <c r="B21" s="14" t="s">
        <v>180</v>
      </c>
      <c r="C21" s="14"/>
      <c r="D21" s="14"/>
      <c r="F21" s="35"/>
    </row>
    <row r="23" spans="2:8">
      <c r="B23" t="s">
        <v>181</v>
      </c>
      <c r="C23">
        <f>2009-YEAR(Geb_dat)</f>
        <v>109</v>
      </c>
    </row>
    <row r="24" spans="2:8">
      <c r="B24" t="s">
        <v>182</v>
      </c>
      <c r="C24">
        <f>IFERROR(_xlfn.XLOOKUP(C23,Basistabellen!B112:B116,Basistabellen!C112:C116),Basistabellen!C108)</f>
        <v>35</v>
      </c>
    </row>
    <row r="26" spans="2:8">
      <c r="B26" t="s">
        <v>183</v>
      </c>
      <c r="C26" s="80" t="e">
        <f>Saldo_lfb/'Kan ik deelnemen '!C31</f>
        <v>#DIV/0!</v>
      </c>
      <c r="D26" t="s">
        <v>184</v>
      </c>
      <c r="H26" s="1"/>
    </row>
    <row r="27" spans="2:8">
      <c r="B27" t="s">
        <v>185</v>
      </c>
      <c r="C27" s="80" t="e">
        <f>C26*7</f>
        <v>#DIV/0!</v>
      </c>
      <c r="D27" t="s">
        <v>186</v>
      </c>
      <c r="G27" s="35"/>
      <c r="H27" s="1"/>
    </row>
    <row r="28" spans="2:8">
      <c r="C28" s="35"/>
      <c r="G28" s="35"/>
      <c r="H28" s="1"/>
    </row>
    <row r="29" spans="2:8">
      <c r="B29" t="s">
        <v>187</v>
      </c>
      <c r="C29" s="35"/>
      <c r="D29" t="e">
        <f ca="1">ROUNDUP((C6-C12)/7,0)</f>
        <v>#VALUE!</v>
      </c>
      <c r="H29" s="1"/>
    </row>
    <row r="30" spans="2:8">
      <c r="B30" t="s">
        <v>188</v>
      </c>
      <c r="C30" s="35"/>
      <c r="D30" t="e">
        <f ca="1">ROUNDUP(Saldo_lfb/D29,0)</f>
        <v>#VALUE!</v>
      </c>
      <c r="G30" s="35"/>
      <c r="H30" s="1"/>
    </row>
    <row r="31" spans="2:8">
      <c r="B31" t="s">
        <v>189</v>
      </c>
      <c r="C31" s="35"/>
      <c r="D31">
        <f>'Bruto-netto'!E7*Basistabellen!C13</f>
        <v>24</v>
      </c>
      <c r="H31" s="1"/>
    </row>
    <row r="32" spans="2:8">
      <c r="C32" s="35"/>
      <c r="H32" s="1"/>
    </row>
    <row r="33" spans="1:8">
      <c r="A33" s="68" t="s">
        <v>190</v>
      </c>
      <c r="B33" s="55" t="s">
        <v>191</v>
      </c>
      <c r="H33" s="1"/>
    </row>
    <row r="34" spans="1:8">
      <c r="A34" s="68" t="s">
        <v>192</v>
      </c>
      <c r="B34" s="82" t="s">
        <v>193</v>
      </c>
      <c r="H34" s="1"/>
    </row>
    <row r="35" spans="1:8">
      <c r="B35" s="1" t="e">
        <f ca="1">IF(D30&lt;2,"Voor je kan deelnemen aan de regeling heb je ruim voldoende tijd om je LFB op te nemen.",IF(D30&lt;=D31,"Als je vanaf volgende maand minimaal "&amp;D30&amp;" uur LFB per week opneemt kan je nog voor je AOW aan de regeling deelnemen. Je kan maximaal "&amp;'Kan ik deelnemen '!C31&amp;" uur per week opnemen.",D46))</f>
        <v>#VALUE!</v>
      </c>
      <c r="H35" s="1"/>
    </row>
    <row r="36" spans="1:8">
      <c r="C36" s="3"/>
      <c r="H36" s="1"/>
    </row>
    <row r="37" spans="1:8">
      <c r="H37" s="1"/>
    </row>
    <row r="38" spans="1:8" ht="14.65" thickBot="1">
      <c r="B38" s="14" t="s">
        <v>194</v>
      </c>
      <c r="C38" s="14"/>
      <c r="D38" s="14"/>
    </row>
    <row r="39" spans="1:8">
      <c r="C39" s="37" t="s">
        <v>195</v>
      </c>
    </row>
    <row r="40" spans="1:8">
      <c r="A40">
        <v>1</v>
      </c>
      <c r="B40" t="s">
        <v>196</v>
      </c>
      <c r="C40" s="21" t="e">
        <f ca="1">IF(SUM(E7:E9)=3,1,0)*E7</f>
        <v>#VALUE!</v>
      </c>
      <c r="D40" t="s">
        <v>197</v>
      </c>
    </row>
    <row r="41" spans="1:8">
      <c r="C41" s="21"/>
    </row>
    <row r="42" spans="1:8">
      <c r="A42">
        <v>2</v>
      </c>
      <c r="B42" t="s">
        <v>198</v>
      </c>
      <c r="C42" s="21" t="e">
        <f ca="1">IF(Startdatum&lt;=EDATE(TODAY(),12*Basistabellen!C17),1,0)*E7</f>
        <v>#VALUE!</v>
      </c>
      <c r="D42" t="str">
        <f>"Je kunt deelnemen vanaf "&amp;D11&amp;". Let op, je moet wel 3 maanden van tevoren aanvragen."</f>
        <v>Je kunt deelnemen vanaf . Let op, je moet wel 3 maanden van tevoren aanvragen.</v>
      </c>
    </row>
    <row r="43" spans="1:8">
      <c r="C43" s="21"/>
    </row>
    <row r="44" spans="1:8">
      <c r="A44">
        <v>3</v>
      </c>
      <c r="B44" t="s">
        <v>199</v>
      </c>
      <c r="C44" s="21" t="e">
        <f ca="1">IF(Startdatum&gt;EDATE(TODAY(),12*Basistabellen!C17),1,0)*E7</f>
        <v>#VALUE!</v>
      </c>
      <c r="D44" t="str">
        <f>"Je kunt de komende "&amp;Basistabellen!C17&amp;" jaar nog niet deelnemen. Deelname is mogelijk vanaf "&amp;D11&amp;"."</f>
        <v>Je kunt de komende 5 jaar nog niet deelnemen. Deelname is mogelijk vanaf .</v>
      </c>
    </row>
    <row r="45" spans="1:8">
      <c r="C45" s="21"/>
    </row>
    <row r="46" spans="1:8">
      <c r="A46">
        <v>5</v>
      </c>
      <c r="B46" t="s">
        <v>200</v>
      </c>
      <c r="C46" s="21" t="e">
        <f ca="1">IF(C7&lt;TODAY(),1,0)</f>
        <v>#VALUE!</v>
      </c>
      <c r="D46" t="s">
        <v>201</v>
      </c>
    </row>
    <row r="47" spans="1:8">
      <c r="D47" t="s">
        <v>202</v>
      </c>
      <c r="E47" s="21"/>
      <c r="F47" s="21"/>
      <c r="G47" s="21"/>
    </row>
    <row r="49" spans="2:5" ht="14.65" thickBot="1">
      <c r="B49" s="14" t="s">
        <v>203</v>
      </c>
      <c r="C49" s="14" t="s">
        <v>195</v>
      </c>
      <c r="D49" s="14"/>
      <c r="E49" s="14"/>
    </row>
    <row r="51" spans="2:5">
      <c r="B51" t="s">
        <v>204</v>
      </c>
    </row>
    <row r="52" spans="2:5">
      <c r="C52" t="s">
        <v>205</v>
      </c>
      <c r="D52" s="1">
        <f>IF('Kan ik deelnemen '!F24="ja",1,0)</f>
        <v>0</v>
      </c>
      <c r="E52" t="s">
        <v>206</v>
      </c>
    </row>
    <row r="53" spans="2:5">
      <c r="C53" t="s">
        <v>207</v>
      </c>
      <c r="D53" s="1">
        <f>AND('Kan ik deelnemen '!C38&lt;&gt;"",'Kan ik deelnemen '!C38&lt;&gt;0)*1</f>
        <v>0</v>
      </c>
      <c r="E53" t="s">
        <v>208</v>
      </c>
    </row>
    <row r="54" spans="2:5">
      <c r="B54" s="27"/>
      <c r="C54" t="s">
        <v>209</v>
      </c>
      <c r="D54" s="1">
        <f>AND('Kan ik deelnemen '!C45&lt;&gt;"",'Kan ik deelnemen '!C45&lt;&gt;0)*1</f>
        <v>0</v>
      </c>
    </row>
    <row r="55" spans="2:5">
      <c r="C55" t="s">
        <v>210</v>
      </c>
      <c r="D55" s="1">
        <f>AND('Kan ik deelnemen '!C31&lt;&gt;"",'Kan ik deelnemen '!C31&lt;&gt;0)*1</f>
        <v>0</v>
      </c>
    </row>
    <row r="56" spans="2:5">
      <c r="C56" t="s">
        <v>211</v>
      </c>
      <c r="D56" s="42">
        <f>PRODUCT(D52:D55)</f>
        <v>0</v>
      </c>
    </row>
    <row r="57" spans="2:5">
      <c r="D57" s="43"/>
    </row>
    <row r="58" spans="2:5">
      <c r="B58" t="s">
        <v>212</v>
      </c>
      <c r="C58" t="s">
        <v>213</v>
      </c>
      <c r="D58" s="1">
        <f>AND('Mijn gegevens'!D40&lt;&gt;"",'Mijn gegevens'!D40&lt;&gt;0)*1</f>
        <v>0</v>
      </c>
    </row>
    <row r="59" spans="2:5">
      <c r="C59" t="s">
        <v>214</v>
      </c>
      <c r="D59" s="1">
        <f>AND('Mijn gegevens'!D47&lt;&gt;"",'Mijn gegevens'!D47&lt;&gt;0)*1</f>
        <v>0</v>
      </c>
    </row>
    <row r="60" spans="2:5">
      <c r="C60" t="s">
        <v>215</v>
      </c>
      <c r="D60" s="42">
        <f>PRODUCT(D58:D59)</f>
        <v>0</v>
      </c>
    </row>
    <row r="62" spans="2:5">
      <c r="B62" t="s">
        <v>216</v>
      </c>
      <c r="D62" s="1">
        <f>D60*D56</f>
        <v>0</v>
      </c>
    </row>
  </sheetData>
  <sheetProtection algorithmName="SHA-512" hashValue="i0f5WvDZTBCfOcsBePIJmt2iP2EEPLm04CaXMXZ3BY9tfWoKw2TVZEOx7C92cZNxILNm1jwg0vaBtRijHO17kw==" saltValue="G7xMk3o2I7eO6P6odAKDBQ==" spinCount="100000" sheet="1" objects="1" scenarios="1"/>
  <conditionalFormatting sqref="G47">
    <cfRule type="cellIs" dxfId="1" priority="1" operator="equal">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C55E8-0E45-47CD-91C7-983651F39474}">
  <sheetPr codeName="Blad12">
    <tabColor rgb="FFF9A503"/>
  </sheetPr>
  <dimension ref="B2:J116"/>
  <sheetViews>
    <sheetView workbookViewId="0">
      <selection activeCell="C10" sqref="C10"/>
    </sheetView>
  </sheetViews>
  <sheetFormatPr defaultRowHeight="14.25"/>
  <cols>
    <col min="2" max="2" width="32.46484375" bestFit="1" customWidth="1"/>
    <col min="3" max="7" width="16" customWidth="1"/>
    <col min="9" max="9" width="42.53125" bestFit="1" customWidth="1"/>
    <col min="10" max="10" width="42.46484375" bestFit="1" customWidth="1"/>
    <col min="13" max="13" width="27.1328125" customWidth="1"/>
  </cols>
  <sheetData>
    <row r="2" spans="2:10" ht="18">
      <c r="B2" s="5" t="s">
        <v>217</v>
      </c>
    </row>
    <row r="4" spans="2:10" ht="14.65" thickBot="1">
      <c r="B4" s="44" t="s">
        <v>218</v>
      </c>
      <c r="C4" s="44"/>
      <c r="D4" s="44"/>
      <c r="E4" s="44"/>
      <c r="F4" s="44"/>
      <c r="G4" s="44"/>
      <c r="H4" s="44"/>
      <c r="I4" s="44"/>
      <c r="J4" s="44"/>
    </row>
    <row r="6" spans="2:10">
      <c r="B6" t="s">
        <v>219</v>
      </c>
      <c r="C6" s="62">
        <v>0.8</v>
      </c>
    </row>
    <row r="8" spans="2:10">
      <c r="B8" t="s">
        <v>220</v>
      </c>
      <c r="C8" s="62">
        <v>0.9</v>
      </c>
    </row>
    <row r="10" spans="2:10">
      <c r="B10" t="s">
        <v>221</v>
      </c>
      <c r="C10" s="40" t="s">
        <v>36</v>
      </c>
    </row>
    <row r="11" spans="2:10">
      <c r="B11" t="s">
        <v>222</v>
      </c>
    </row>
    <row r="13" spans="2:10">
      <c r="B13" t="s">
        <v>223</v>
      </c>
      <c r="C13">
        <v>36</v>
      </c>
      <c r="D13" t="s">
        <v>224</v>
      </c>
    </row>
    <row r="15" spans="2:10">
      <c r="B15" t="s">
        <v>225</v>
      </c>
      <c r="C15">
        <v>24</v>
      </c>
      <c r="D15" t="s">
        <v>224</v>
      </c>
    </row>
    <row r="17" spans="2:10">
      <c r="B17" t="s">
        <v>226</v>
      </c>
      <c r="C17">
        <v>5</v>
      </c>
      <c r="D17" t="s">
        <v>227</v>
      </c>
    </row>
    <row r="20" spans="2:10" ht="14.65" thickBot="1">
      <c r="B20" s="44" t="s">
        <v>228</v>
      </c>
      <c r="C20" s="44"/>
      <c r="D20" s="44"/>
      <c r="E20" s="44"/>
      <c r="F20" s="44"/>
      <c r="G20" s="44"/>
      <c r="H20" s="44"/>
      <c r="I20" s="44"/>
      <c r="J20" s="44"/>
    </row>
    <row r="22" spans="2:10">
      <c r="B22" t="s">
        <v>229</v>
      </c>
      <c r="C22" s="96">
        <v>500</v>
      </c>
    </row>
    <row r="26" spans="2:10" ht="14.65" thickBot="1">
      <c r="B26" s="44" t="s">
        <v>230</v>
      </c>
      <c r="C26" s="44"/>
      <c r="D26" s="44"/>
      <c r="E26" s="44"/>
      <c r="F26" s="44"/>
      <c r="G26" s="44"/>
      <c r="H26" s="44"/>
      <c r="I26" s="44"/>
      <c r="J26" s="44"/>
    </row>
    <row r="28" spans="2:10">
      <c r="B28" s="61" t="s">
        <v>231</v>
      </c>
      <c r="C28" s="61" t="s">
        <v>232</v>
      </c>
      <c r="D28" s="16" t="s">
        <v>233</v>
      </c>
      <c r="E28" s="16" t="s">
        <v>234</v>
      </c>
    </row>
    <row r="29" spans="2:10">
      <c r="B29" s="54">
        <v>1</v>
      </c>
      <c r="C29" s="54">
        <v>19603</v>
      </c>
      <c r="D29" s="55">
        <v>2019</v>
      </c>
      <c r="E29" s="55">
        <f>66*12+4</f>
        <v>796</v>
      </c>
      <c r="F29" s="56"/>
    </row>
    <row r="30" spans="2:10">
      <c r="B30" s="54">
        <v>19603</v>
      </c>
      <c r="C30" s="54">
        <v>19968</v>
      </c>
      <c r="D30" s="55">
        <v>2020</v>
      </c>
      <c r="E30" s="55">
        <v>796</v>
      </c>
      <c r="F30" s="56"/>
    </row>
    <row r="31" spans="2:10">
      <c r="B31" s="54">
        <v>19968</v>
      </c>
      <c r="C31" s="54">
        <v>20333</v>
      </c>
      <c r="D31" s="55">
        <v>2021</v>
      </c>
      <c r="E31" s="55">
        <v>796</v>
      </c>
      <c r="F31" s="56"/>
    </row>
    <row r="32" spans="2:10">
      <c r="B32" s="57">
        <v>20333</v>
      </c>
      <c r="C32" s="57">
        <v>20605</v>
      </c>
      <c r="D32">
        <v>2022</v>
      </c>
      <c r="E32" s="58">
        <v>799</v>
      </c>
      <c r="F32" s="56"/>
    </row>
    <row r="33" spans="2:10">
      <c r="B33" s="57">
        <v>20607</v>
      </c>
      <c r="C33" s="57">
        <v>20880</v>
      </c>
      <c r="D33">
        <v>2023</v>
      </c>
      <c r="E33" s="58">
        <v>802</v>
      </c>
      <c r="F33" s="56"/>
    </row>
    <row r="34" spans="2:10">
      <c r="B34" s="57">
        <v>20880</v>
      </c>
      <c r="C34" s="57">
        <v>21186</v>
      </c>
      <c r="D34">
        <v>2024</v>
      </c>
      <c r="E34" s="58">
        <v>804</v>
      </c>
      <c r="F34" s="56"/>
    </row>
    <row r="35" spans="2:10">
      <c r="B35" s="57">
        <v>21186</v>
      </c>
      <c r="C35" s="57">
        <v>21550</v>
      </c>
      <c r="D35">
        <v>2025</v>
      </c>
      <c r="E35" s="58">
        <v>804</v>
      </c>
      <c r="F35" s="56"/>
    </row>
    <row r="36" spans="2:10">
      <c r="B36" s="57">
        <v>21551</v>
      </c>
      <c r="C36" s="57">
        <v>21915</v>
      </c>
      <c r="D36">
        <v>2026</v>
      </c>
      <c r="E36" s="58">
        <v>804</v>
      </c>
      <c r="F36" s="56"/>
    </row>
    <row r="37" spans="2:10">
      <c r="B37" s="57">
        <v>21916</v>
      </c>
      <c r="C37" s="57">
        <v>22281</v>
      </c>
      <c r="D37">
        <v>2027</v>
      </c>
      <c r="E37" s="58">
        <v>804</v>
      </c>
      <c r="F37" s="56"/>
    </row>
    <row r="38" spans="2:10">
      <c r="B38" s="59">
        <v>22282</v>
      </c>
      <c r="C38" s="59"/>
      <c r="D38">
        <v>2028</v>
      </c>
      <c r="E38" s="58">
        <v>807</v>
      </c>
      <c r="F38" s="56"/>
    </row>
    <row r="41" spans="2:10" ht="14.65" thickBot="1">
      <c r="B41" s="44" t="s">
        <v>235</v>
      </c>
      <c r="C41" s="44"/>
      <c r="D41" s="44"/>
      <c r="E41" s="44"/>
      <c r="F41" s="44"/>
      <c r="G41" s="44"/>
      <c r="H41" s="44"/>
      <c r="I41" s="44"/>
      <c r="J41" s="44"/>
    </row>
    <row r="42" spans="2:10">
      <c r="B42" s="51">
        <v>1</v>
      </c>
      <c r="C42" s="15" t="s">
        <v>236</v>
      </c>
    </row>
    <row r="43" spans="2:10">
      <c r="B43" s="51">
        <v>2</v>
      </c>
      <c r="C43" s="15" t="s">
        <v>237</v>
      </c>
      <c r="D43" t="s">
        <v>236</v>
      </c>
      <c r="E43">
        <f>_xlfn.XLOOKUP(D43,C42:C54,B42:B54)</f>
        <v>1</v>
      </c>
    </row>
    <row r="44" spans="2:10">
      <c r="B44" s="51">
        <v>3</v>
      </c>
      <c r="C44" s="15" t="s">
        <v>238</v>
      </c>
    </row>
    <row r="45" spans="2:10">
      <c r="B45" s="51">
        <v>4</v>
      </c>
      <c r="C45" s="15" t="s">
        <v>239</v>
      </c>
    </row>
    <row r="46" spans="2:10">
      <c r="B46" s="51">
        <v>5</v>
      </c>
      <c r="C46" s="15" t="s">
        <v>240</v>
      </c>
    </row>
    <row r="47" spans="2:10">
      <c r="B47" s="51">
        <v>6</v>
      </c>
      <c r="C47" s="15" t="s">
        <v>241</v>
      </c>
    </row>
    <row r="48" spans="2:10">
      <c r="B48" s="51">
        <v>7</v>
      </c>
      <c r="C48" s="15" t="s">
        <v>242</v>
      </c>
    </row>
    <row r="49" spans="2:10">
      <c r="B49" s="51">
        <v>8</v>
      </c>
      <c r="C49" s="15" t="s">
        <v>243</v>
      </c>
    </row>
    <row r="50" spans="2:10">
      <c r="B50" s="51">
        <v>9</v>
      </c>
      <c r="C50" s="15" t="s">
        <v>244</v>
      </c>
    </row>
    <row r="51" spans="2:10">
      <c r="B51" s="51">
        <v>10</v>
      </c>
      <c r="C51" s="15" t="s">
        <v>245</v>
      </c>
    </row>
    <row r="52" spans="2:10">
      <c r="B52" s="51">
        <v>11</v>
      </c>
      <c r="C52" s="15" t="s">
        <v>246</v>
      </c>
    </row>
    <row r="53" spans="2:10">
      <c r="B53" s="51">
        <v>12</v>
      </c>
      <c r="C53" s="15" t="s">
        <v>247</v>
      </c>
    </row>
    <row r="54" spans="2:10">
      <c r="B54" s="51">
        <v>13</v>
      </c>
      <c r="C54" s="15" t="s">
        <v>236</v>
      </c>
    </row>
    <row r="55" spans="2:10">
      <c r="B55" s="51"/>
      <c r="C55" s="15"/>
    </row>
    <row r="56" spans="2:10">
      <c r="B56" s="51"/>
      <c r="C56" s="15"/>
    </row>
    <row r="57" spans="2:10" ht="14.65" thickBot="1">
      <c r="B57" s="44" t="s">
        <v>146</v>
      </c>
      <c r="C57" s="44"/>
      <c r="D57" s="44"/>
      <c r="E57" s="44"/>
      <c r="F57" s="44"/>
      <c r="G57" s="44"/>
      <c r="H57" s="44"/>
      <c r="I57" s="44"/>
      <c r="J57" s="44"/>
    </row>
    <row r="59" spans="2:10">
      <c r="B59" t="s">
        <v>248</v>
      </c>
    </row>
    <row r="60" spans="2:10">
      <c r="B60" t="s">
        <v>249</v>
      </c>
    </row>
    <row r="61" spans="2:10">
      <c r="B61" t="s">
        <v>250</v>
      </c>
      <c r="C61" t="s">
        <v>251</v>
      </c>
      <c r="D61" t="s">
        <v>252</v>
      </c>
      <c r="I61" s="39" t="s">
        <v>253</v>
      </c>
    </row>
    <row r="62" spans="2:10">
      <c r="B62">
        <v>1</v>
      </c>
      <c r="C62">
        <v>73030</v>
      </c>
      <c r="D62" s="2">
        <v>0.36930000000000002</v>
      </c>
    </row>
    <row r="63" spans="2:10">
      <c r="B63">
        <v>2</v>
      </c>
      <c r="C63">
        <v>73031</v>
      </c>
      <c r="D63" s="2">
        <v>0.495</v>
      </c>
    </row>
    <row r="66" spans="2:10" ht="14.65" thickBot="1">
      <c r="B66" s="44" t="s">
        <v>254</v>
      </c>
      <c r="C66" s="44"/>
      <c r="D66" s="44"/>
      <c r="E66" s="44"/>
      <c r="F66" s="44"/>
      <c r="G66" s="44"/>
      <c r="H66" s="44"/>
      <c r="I66" s="44"/>
      <c r="J66" s="44"/>
    </row>
    <row r="68" spans="2:10">
      <c r="I68" s="16" t="s">
        <v>255</v>
      </c>
    </row>
    <row r="70" spans="2:10">
      <c r="C70" s="37" t="s">
        <v>256</v>
      </c>
      <c r="D70" s="37" t="s">
        <v>153</v>
      </c>
      <c r="E70" s="37" t="s">
        <v>257</v>
      </c>
      <c r="F70" s="37" t="s">
        <v>39</v>
      </c>
      <c r="G70" s="37" t="s">
        <v>106</v>
      </c>
      <c r="I70" s="16" t="s">
        <v>258</v>
      </c>
      <c r="J70" s="16" t="s">
        <v>158</v>
      </c>
    </row>
    <row r="71" spans="2:10">
      <c r="C71" s="3">
        <v>0</v>
      </c>
      <c r="D71" s="3">
        <v>10740</v>
      </c>
      <c r="E71" s="21">
        <f>AND('Bruto-netto'!$C$18&gt;C71,'Bruto-netto'!$C$18&lt;D71)*1</f>
        <v>0</v>
      </c>
      <c r="F71" s="3">
        <f>('Bruto-netto'!G86*8.231%)*$E$71</f>
        <v>0</v>
      </c>
      <c r="G71" s="3" t="e">
        <f>('Bruto-netto'!I86*8.231%)*$E$71</f>
        <v>#DIV/0!</v>
      </c>
      <c r="I71" t="s">
        <v>259</v>
      </c>
      <c r="J71" t="s">
        <v>260</v>
      </c>
    </row>
    <row r="72" spans="2:10">
      <c r="C72" s="3">
        <f>D71+1</f>
        <v>10741</v>
      </c>
      <c r="D72" s="3">
        <v>23201</v>
      </c>
      <c r="E72" s="21">
        <f>AND('Bruto-netto'!$C$18&gt;C72,'Bruto-netto'!$C$18&lt;D72)*1</f>
        <v>0</v>
      </c>
      <c r="F72" s="3">
        <f>(884+29.861%*('Bruto-netto'!G86-$D71))*$E$72</f>
        <v>0</v>
      </c>
      <c r="G72" s="3" t="e">
        <f>(884+29.861%*('Bruto-netto'!I86-$D71))*$E$72</f>
        <v>#DIV/0!</v>
      </c>
      <c r="I72" t="s">
        <v>261</v>
      </c>
      <c r="J72" t="s">
        <v>262</v>
      </c>
    </row>
    <row r="73" spans="2:10">
      <c r="C73" s="3">
        <f>D72+1</f>
        <v>23202</v>
      </c>
      <c r="D73" s="3">
        <v>37691</v>
      </c>
      <c r="E73" s="21">
        <f>AND('Bruto-netto'!$C$18&gt;C73,'Bruto-netto'!$C$18&lt;D73)*1</f>
        <v>0</v>
      </c>
      <c r="F73" s="3">
        <f>(4605+3.085%*('Bruto-netto'!G86-$D72))*$E$73</f>
        <v>0</v>
      </c>
      <c r="G73" s="3" t="e">
        <f>(4605+3.085%*('Bruto-netto'!I86-$D72))*$E$73</f>
        <v>#DIV/0!</v>
      </c>
      <c r="I73" t="s">
        <v>263</v>
      </c>
      <c r="J73" t="s">
        <v>264</v>
      </c>
    </row>
    <row r="74" spans="2:10">
      <c r="C74" s="3">
        <f>D73+1</f>
        <v>37692</v>
      </c>
      <c r="D74" s="3">
        <v>115294</v>
      </c>
      <c r="E74" s="21">
        <f>AND('Bruto-netto'!$C$18&gt;C74,'Bruto-netto'!$C$18&lt;D74)*1</f>
        <v>0</v>
      </c>
      <c r="F74" s="3">
        <f>(5052-6.51%*('Bruto-netto'!G86-$D73))*$E$74</f>
        <v>0</v>
      </c>
      <c r="G74" s="3" t="e">
        <f>(5052-6.51%*('Bruto-netto'!I86-$D73))*$E$74</f>
        <v>#DIV/0!</v>
      </c>
      <c r="I74" t="s">
        <v>265</v>
      </c>
      <c r="J74" t="s">
        <v>266</v>
      </c>
    </row>
    <row r="75" spans="2:10">
      <c r="C75" s="3">
        <v>115295</v>
      </c>
      <c r="D75" s="3"/>
      <c r="E75" s="21">
        <f>AND('Bruto-netto'!$C$18&gt;C75,'Bruto-netto'!$C$18&lt;D75)*1</f>
        <v>0</v>
      </c>
      <c r="F75" s="3">
        <v>0</v>
      </c>
      <c r="G75" s="3">
        <v>0</v>
      </c>
      <c r="I75" t="s">
        <v>267</v>
      </c>
      <c r="J75" t="s">
        <v>268</v>
      </c>
    </row>
    <row r="77" spans="2:10">
      <c r="C77" s="16" t="s">
        <v>269</v>
      </c>
      <c r="D77" s="60"/>
      <c r="E77" s="16"/>
      <c r="F77" s="48">
        <f>MAX(F71:F75)</f>
        <v>0</v>
      </c>
      <c r="G77" s="19" t="e">
        <f>MAX(G71:G75)</f>
        <v>#DIV/0!</v>
      </c>
      <c r="I77" s="39" t="s">
        <v>270</v>
      </c>
    </row>
    <row r="81" spans="2:10" ht="14.65" thickBot="1">
      <c r="B81" s="44" t="s">
        <v>271</v>
      </c>
      <c r="C81" s="44"/>
      <c r="D81" s="44"/>
      <c r="E81" s="44"/>
      <c r="F81" s="44"/>
      <c r="G81" s="44"/>
      <c r="H81" s="44"/>
      <c r="I81" s="44"/>
      <c r="J81" s="44"/>
    </row>
    <row r="83" spans="2:10">
      <c r="I83" s="16" t="s">
        <v>272</v>
      </c>
    </row>
    <row r="85" spans="2:10">
      <c r="C85" s="37" t="s">
        <v>256</v>
      </c>
      <c r="D85" s="37" t="s">
        <v>153</v>
      </c>
      <c r="E85" s="37" t="s">
        <v>257</v>
      </c>
      <c r="I85" s="16" t="s">
        <v>273</v>
      </c>
      <c r="J85" s="16" t="s">
        <v>148</v>
      </c>
    </row>
    <row r="86" spans="2:10">
      <c r="C86">
        <v>0</v>
      </c>
      <c r="D86">
        <v>22660</v>
      </c>
      <c r="F86">
        <v>3070</v>
      </c>
      <c r="I86" t="s">
        <v>274</v>
      </c>
      <c r="J86" s="86">
        <v>3070</v>
      </c>
    </row>
    <row r="87" spans="2:10">
      <c r="C87">
        <f>+D86+1</f>
        <v>22661</v>
      </c>
      <c r="D87">
        <v>73030</v>
      </c>
      <c r="I87" t="s">
        <v>275</v>
      </c>
      <c r="J87" t="s">
        <v>276</v>
      </c>
    </row>
    <row r="88" spans="2:10">
      <c r="C88">
        <f>+D87+1</f>
        <v>73031</v>
      </c>
      <c r="I88" t="s">
        <v>277</v>
      </c>
      <c r="J88" t="s">
        <v>268</v>
      </c>
    </row>
    <row r="92" spans="2:10">
      <c r="I92" s="39" t="s">
        <v>278</v>
      </c>
    </row>
    <row r="95" spans="2:10" ht="14.65" thickBot="1">
      <c r="B95" s="44" t="s">
        <v>60</v>
      </c>
      <c r="C95" s="44"/>
      <c r="D95" s="44"/>
      <c r="E95" s="44"/>
      <c r="F95" s="44"/>
      <c r="G95" s="44"/>
      <c r="H95" s="44"/>
      <c r="I95" s="44"/>
      <c r="J95" s="44"/>
    </row>
    <row r="97" spans="2:10">
      <c r="B97" s="16" t="s">
        <v>116</v>
      </c>
    </row>
    <row r="98" spans="2:10">
      <c r="B98" t="s">
        <v>117</v>
      </c>
      <c r="C98" s="3">
        <v>14714</v>
      </c>
      <c r="I98" s="39" t="s">
        <v>279</v>
      </c>
    </row>
    <row r="99" spans="2:10">
      <c r="B99" t="s">
        <v>119</v>
      </c>
      <c r="C99" s="3">
        <v>25069</v>
      </c>
    </row>
    <row r="100" spans="2:10">
      <c r="B100" t="s">
        <v>121</v>
      </c>
      <c r="C100" s="3">
        <v>128810</v>
      </c>
    </row>
    <row r="101" spans="2:10">
      <c r="B101" t="s">
        <v>123</v>
      </c>
      <c r="C101" s="2">
        <v>0.25800000000000001</v>
      </c>
    </row>
    <row r="102" spans="2:10">
      <c r="B102" t="s">
        <v>124</v>
      </c>
      <c r="C102" s="2">
        <v>5.0000000000000001E-3</v>
      </c>
    </row>
    <row r="103" spans="2:10">
      <c r="B103" t="s">
        <v>128</v>
      </c>
      <c r="C103" s="2">
        <v>0.5</v>
      </c>
    </row>
    <row r="104" spans="2:10">
      <c r="C104" s="18"/>
    </row>
    <row r="106" spans="2:10" ht="14.65" thickBot="1">
      <c r="B106" s="44" t="s">
        <v>180</v>
      </c>
      <c r="C106" s="44"/>
      <c r="D106" s="44"/>
      <c r="E106" s="44"/>
      <c r="F106" s="44"/>
      <c r="G106" s="44"/>
      <c r="H106" s="44"/>
      <c r="I106" s="44"/>
      <c r="J106" s="44"/>
    </row>
    <row r="108" spans="2:10">
      <c r="B108" t="s">
        <v>280</v>
      </c>
      <c r="C108">
        <v>35</v>
      </c>
      <c r="D108" t="s">
        <v>224</v>
      </c>
    </row>
    <row r="110" spans="2:10">
      <c r="B110" t="s">
        <v>281</v>
      </c>
    </row>
    <row r="111" spans="2:10">
      <c r="B111">
        <v>2009</v>
      </c>
      <c r="C111" t="s">
        <v>282</v>
      </c>
    </row>
    <row r="112" spans="2:10">
      <c r="B112">
        <v>50</v>
      </c>
      <c r="C112">
        <v>80</v>
      </c>
      <c r="D112" t="s">
        <v>224</v>
      </c>
    </row>
    <row r="113" spans="2:4">
      <c r="B113">
        <f>B112+1</f>
        <v>51</v>
      </c>
      <c r="C113">
        <v>100</v>
      </c>
      <c r="D113" t="s">
        <v>224</v>
      </c>
    </row>
    <row r="114" spans="2:4">
      <c r="B114">
        <f t="shared" ref="B114:B116" si="0">B113+1</f>
        <v>52</v>
      </c>
      <c r="C114">
        <v>120</v>
      </c>
      <c r="D114" t="s">
        <v>224</v>
      </c>
    </row>
    <row r="115" spans="2:4">
      <c r="B115">
        <f t="shared" si="0"/>
        <v>53</v>
      </c>
      <c r="C115">
        <v>135</v>
      </c>
      <c r="D115" t="s">
        <v>224</v>
      </c>
    </row>
    <row r="116" spans="2:4">
      <c r="B116">
        <f t="shared" si="0"/>
        <v>54</v>
      </c>
      <c r="C116">
        <v>150</v>
      </c>
      <c r="D116" t="s">
        <v>224</v>
      </c>
    </row>
  </sheetData>
  <sheetProtection algorithmName="SHA-512" hashValue="ObqP8g4SoZNdwitexAVdPEz/bUAmnU120cwiTqht9u2UyjXYQdamRBFBtf2hKWSNskAK8kq/zu+WxC+G1XK5Zw==" saltValue="vPf78DZCKgRWAoQ/v8CgoA==" spinCount="100000" sheet="1" objects="1" scenarios="1"/>
  <phoneticPr fontId="19" type="noConversion"/>
  <dataValidations count="3">
    <dataValidation type="decimal" allowBlank="1" showInputMessage="1" showErrorMessage="1" errorTitle="Verkeerde invoer" error="Voer een getal tussen de 50% en 100% in." sqref="C6" xr:uid="{0E562804-8B7D-478B-B5FC-EE587E6C69D4}">
      <formula1>0.5</formula1>
      <formula2>1</formula2>
    </dataValidation>
    <dataValidation type="decimal" allowBlank="1" showInputMessage="1" showErrorMessage="1" errorTitle="Verkeerde invoer" error="Voer een getal in groter dan het % werken en kleiner of gelijk aan 100% in." sqref="C8" xr:uid="{49FC0CA7-ED64-4551-B283-FDA590884C78}">
      <formula1>C6</formula1>
      <formula2>1</formula2>
    </dataValidation>
    <dataValidation type="list" allowBlank="1" showInputMessage="1" showErrorMessage="1" error="Je kunt hier alleen &quot;ja&quot; of &quot;nee&quot; invullen." sqref="C10" xr:uid="{F06AC770-6AF8-4D46-B9D1-7C18B5820AD5}">
      <formula1>"ja,nee"</formula1>
    </dataValidation>
  </dataValidations>
  <hyperlinks>
    <hyperlink ref="I61" r:id="rId1" display="https://www.belastingdienst.nl/wps/wcm/connect/bldcontentnl/belastingdienst/prive/inkomstenbelasting/heffingskortingen_boxen_tarieven/boxen_en_tarieven/overzicht_tarieven_en_schijven/u-hebt-in-2023-nog-niet-aow-leeftijd" xr:uid="{9C3DD001-D600-4CA1-A955-01D11072449C}"/>
    <hyperlink ref="I77" r:id="rId2" display="https://www.belastingdienst.nl/wps/wcm/connect/bldcontentnl/belastingdienst/prive/inkomstenbelasting/heffingskortingen_boxen_tarieven/heffingskortingen/arbeidskorting/tabel-arbeidskorting-2023" xr:uid="{0CD64FD8-E4B4-4067-8EA2-59C494B713ED}"/>
    <hyperlink ref="I92" r:id="rId3" display="https://www.belastingdienst.nl/wps/wcm/connect/bldcontentnl/belastingdienst/prive/inkomstenbelasting/heffingskortingen_boxen_tarieven/heffingskortingen/algemene_heffingskorting/tabel-algemene-heffingskorting-2023" xr:uid="{7CC49A76-B82A-4A26-8DE6-D712AB6E06DD}"/>
    <hyperlink ref="I98" r:id="rId4" display="https://www.pfzw.nl/werkgevers/premie-en-factuur/premiepercentages-en-franchises.html" xr:uid="{EBC0211B-0FD5-464C-8990-6C8D3CADD8CB}"/>
  </hyperlinks>
  <pageMargins left="0.7" right="0.7" top="0.75" bottom="0.75" header="0.3" footer="0.3"/>
  <pageSetup paperSize="9"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A2931-07C2-444F-8D42-96C3D9BE8541}">
  <sheetPr codeName="Blad13">
    <tabColor rgb="FFF9A503"/>
    <pageSetUpPr fitToPage="1"/>
  </sheetPr>
  <dimension ref="A1:E16"/>
  <sheetViews>
    <sheetView showGridLines="0" workbookViewId="0">
      <selection activeCell="N19" sqref="N19"/>
    </sheetView>
  </sheetViews>
  <sheetFormatPr defaultColWidth="9.1328125" defaultRowHeight="14.25"/>
  <cols>
    <col min="1" max="1" width="3.53125" style="4" customWidth="1"/>
    <col min="2" max="2" width="21" style="6" customWidth="1"/>
    <col min="3" max="3" width="26.1328125" style="6" customWidth="1"/>
    <col min="4" max="4" width="39.53125" style="6" customWidth="1"/>
    <col min="5" max="16384" width="9.1328125" style="6"/>
  </cols>
  <sheetData>
    <row r="1" spans="1:5" ht="50.1" customHeight="1">
      <c r="A1" s="4" t="s">
        <v>283</v>
      </c>
      <c r="B1" s="5" t="s">
        <v>284</v>
      </c>
    </row>
    <row r="2" spans="1:5" ht="51" customHeight="1">
      <c r="A2" s="4" t="s">
        <v>285</v>
      </c>
      <c r="B2" s="140" t="s">
        <v>286</v>
      </c>
      <c r="C2" s="140"/>
      <c r="D2" s="7" t="s">
        <v>287</v>
      </c>
    </row>
    <row r="3" spans="1:5">
      <c r="A3" s="4" t="s">
        <v>288</v>
      </c>
      <c r="B3" s="8" t="s">
        <v>289</v>
      </c>
      <c r="C3" s="9" t="s">
        <v>290</v>
      </c>
      <c r="D3" s="6" t="s">
        <v>291</v>
      </c>
    </row>
    <row r="4" spans="1:5" ht="57">
      <c r="A4" s="4" t="s">
        <v>292</v>
      </c>
      <c r="B4" s="10">
        <f ca="1">TODAY()</f>
        <v>45169</v>
      </c>
      <c r="C4" s="6" t="s">
        <v>293</v>
      </c>
      <c r="D4" s="6" t="s">
        <v>294</v>
      </c>
    </row>
    <row r="5" spans="1:5" ht="28.5">
      <c r="B5" s="126" t="str">
        <f>Rekenblad!C11</f>
        <v/>
      </c>
      <c r="C5" s="6" t="s">
        <v>295</v>
      </c>
      <c r="D5" s="6" t="s">
        <v>296</v>
      </c>
    </row>
    <row r="6" spans="1:5" ht="42.75">
      <c r="B6" s="38" t="str">
        <f>Rekenblad!C6</f>
        <v/>
      </c>
      <c r="C6" s="6" t="s">
        <v>297</v>
      </c>
      <c r="D6" s="6" t="s">
        <v>298</v>
      </c>
    </row>
    <row r="10" spans="1:5" ht="18">
      <c r="B10" s="5" t="s">
        <v>299</v>
      </c>
    </row>
    <row r="11" spans="1:5">
      <c r="B11" s="6" t="s">
        <v>289</v>
      </c>
      <c r="D11" s="6" t="s">
        <v>300</v>
      </c>
    </row>
    <row r="12" spans="1:5">
      <c r="B12" s="6" t="str">
        <f ca="1">IFERROR(IF(LEN(Grafiekgegevens!B4)=0,"",IF(Grafiekgegevens!$D$2="Jaar",YEAR(Grafiekgegevens!B4),IF(Grafiekgegevens!$D$2="Leeg","",DAY(Grafiekgegevens!B4)&amp;" "&amp;TEXT(Grafiekgegevens!B4,"mmm")))),"")</f>
        <v>31 aug</v>
      </c>
      <c r="D12" s="6">
        <f ca="1">IFERROR(IF(LEN(Grafiekgegevens!B4)=0,"",YEAR(Grafiekgegevens!B4)),"")</f>
        <v>2023</v>
      </c>
      <c r="E12" s="11" t="s">
        <v>301</v>
      </c>
    </row>
    <row r="13" spans="1:5">
      <c r="B13" s="6" t="str">
        <f>IFERROR(IF(LEN(Grafiekgegevens!#REF!)=0,"",IF(Grafiekgegevens!$D$2="Jaar",YEAR(Grafiekgegevens!#REF!),IF(Grafiekgegevens!$D$2="Leeg","",DAY(Grafiekgegevens!#REF!)&amp;" "&amp;TEXT(Grafiekgegevens!#REF!,"mmm")))),"")</f>
        <v/>
      </c>
      <c r="D13" s="6" t="str">
        <f ca="1">IFERROR(IF(LEN(Grafiekgegevens!B4)=0,"",IF(YEAR(Grafiekgegevens!#REF!)=$D$12,$D$12,YEAR(Grafiekgegevens!#REF!))),"")</f>
        <v/>
      </c>
      <c r="E13" s="11" t="s">
        <v>302</v>
      </c>
    </row>
    <row r="14" spans="1:5">
      <c r="B14" s="6" t="str">
        <f>IFERROR(IF(LEN(Grafiekgegevens!#REF!)=0,"",IF(Grafiekgegevens!$D$2="Jaar",YEAR(Grafiekgegevens!#REF!),IF(Grafiekgegevens!$D$2="Leeg","",DAY(Grafiekgegevens!#REF!)&amp;" "&amp;TEXT(Grafiekgegevens!#REF!,"mmm")))),"")</f>
        <v/>
      </c>
      <c r="D14" s="6" t="str">
        <f ca="1">IFERROR(IF(LEN(Grafiekgegevens!B4)=0,"",IF(YEAR(Grafiekgegevens!#REF!)=$D$12,"",YEAR(Grafiekgegevens!#REF!))),"")</f>
        <v/>
      </c>
      <c r="E14" s="11" t="s">
        <v>303</v>
      </c>
    </row>
    <row r="15" spans="1:5">
      <c r="B15" s="6" t="str">
        <f>IFERROR(IF(LEN(Grafiekgegevens!B6)=0,"",IF(Grafiekgegevens!$D$2="Jaar",YEAR(Grafiekgegevens!B6),IF(Grafiekgegevens!$D$2="Leeg","",DAY(Grafiekgegevens!B6)&amp;" "&amp;TEXT(Grafiekgegevens!B6,"mmm")))),"")</f>
        <v/>
      </c>
    </row>
    <row r="16" spans="1:5">
      <c r="B16" s="6" t="str">
        <f>IFERROR(IF(LEN(Grafiekgegevens!#REF!)=0,"",IF(Grafiekgegevens!$D$2="Jaar",YEAR(Grafiekgegevens!#REF!),IF(Grafiekgegevens!$D$2="Leeg","",DAY(Grafiekgegevens!#REF!)&amp;" "&amp;TEXT(Grafiekgegevens!#REF!,"mmm")))),"")</f>
        <v/>
      </c>
    </row>
  </sheetData>
  <sheetProtection algorithmName="SHA-512" hashValue="BAOSZKazupSfnzyqSvf4I0r5TIeo7z6pR/R9Mv80m8+PkIrfvN5qO7zbkTyZuNNbsgRRCT9kI3lDUPC2RIqWAA==" saltValue="EksCcSi8Akk2DGrQ5rxvqQ==" spinCount="100000" sheet="1" objects="1" scenarios="1"/>
  <mergeCells count="1">
    <mergeCell ref="B2:C2"/>
  </mergeCells>
  <conditionalFormatting sqref="B2:C2">
    <cfRule type="notContainsBlanks" dxfId="0" priority="1">
      <formula>LEN(TRIM(B2))&gt;0</formula>
    </cfRule>
  </conditionalFormatting>
  <dataValidations count="1">
    <dataValidation type="list" allowBlank="1" showInputMessage="1" showErrorMessage="1" sqref="D2" xr:uid="{B5590B5C-C85D-42D1-9627-864943840CED}">
      <formula1>"Jaar,Dag Maand,Leeg"</formula1>
    </dataValidation>
  </dataValidations>
  <printOptions horizontalCentered="1"/>
  <pageMargins left="0.25" right="0.25" top="0.75" bottom="0.75" header="0.3" footer="0.3"/>
  <pageSetup paperSize="9" orientation="landscape" horizontalDpi="1200" verticalDpi="1200" r:id="rId1"/>
  <headerFooter differentFirst="1">
    <oddFooter>Page &amp;P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F195D-47C0-418B-82C8-0E80D743F1F9}">
  <sheetPr codeName="Blad2">
    <tabColor theme="0" tint="-0.34998626667073579"/>
  </sheetPr>
  <dimension ref="B7"/>
  <sheetViews>
    <sheetView showRowColHeaders="0" zoomScaleNormal="100" workbookViewId="0"/>
  </sheetViews>
  <sheetFormatPr defaultColWidth="9" defaultRowHeight="14.25"/>
  <cols>
    <col min="1" max="1" width="58.1328125" style="88" customWidth="1"/>
    <col min="2" max="16384" width="9" style="88"/>
  </cols>
  <sheetData>
    <row r="7" spans="2:2" ht="30.75">
      <c r="B7" s="130" t="s">
        <v>6</v>
      </c>
    </row>
  </sheetData>
  <sheetProtection algorithmName="SHA-512" hashValue="IttSLh6qRKed+Em5nYgjZ2uMlWSNPxckd9Sp3Ki0TUFtaC7Svn/BhrPAQ2JXTv7yk6QvQij8/ZYdYiliyhjdlA==" saltValue="0w/ebw35pZ3A0VonHv5ku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F2E5F-B8A6-4910-9284-D8E32E95514B}">
  <sheetPr codeName="Blad3">
    <tabColor theme="0" tint="-0.34998626667073579"/>
  </sheetPr>
  <dimension ref="C4:T81"/>
  <sheetViews>
    <sheetView showGridLines="0" showRowColHeaders="0" zoomScaleNormal="100" workbookViewId="0">
      <selection activeCell="W29" sqref="W29"/>
    </sheetView>
  </sheetViews>
  <sheetFormatPr defaultRowHeight="14.25"/>
  <cols>
    <col min="1" max="1" width="10.86328125" customWidth="1"/>
  </cols>
  <sheetData>
    <row r="4" spans="20:20">
      <c r="T4" t="s">
        <v>5</v>
      </c>
    </row>
    <row r="79" spans="3:5">
      <c r="C79" s="133"/>
      <c r="D79" s="133"/>
      <c r="E79" s="133"/>
    </row>
    <row r="81" spans="3:3">
      <c r="C81" s="27"/>
    </row>
  </sheetData>
  <sheetProtection algorithmName="SHA-512" hashValue="4s3c049zvBAiB2G71/9nxaQG5r4dcvKkD7NUyyEj8fkSlw86Bz9lGtd2bS9msDINUF5Mz5tFB6esPqBqHMb+JQ==" saltValue="De65szixVZ5ymvI0wXzA5Q==" spinCount="100000" sheet="1" objects="1" scenarios="1"/>
  <mergeCells count="1">
    <mergeCell ref="C79:E7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346CF-795B-43A2-8B65-DBF90D4B6D5F}">
  <sheetPr codeName="Blad1">
    <tabColor theme="0" tint="-0.34998626667073579"/>
  </sheetPr>
  <dimension ref="B16:E111"/>
  <sheetViews>
    <sheetView showGridLines="0" showRowColHeaders="0" zoomScaleNormal="100" workbookViewId="0">
      <selection activeCell="W29" sqref="W29"/>
    </sheetView>
  </sheetViews>
  <sheetFormatPr defaultRowHeight="14.25"/>
  <cols>
    <col min="1" max="1" width="10.86328125" customWidth="1"/>
    <col min="2" max="2" width="18.86328125" customWidth="1"/>
    <col min="3" max="3" width="9.86328125" customWidth="1"/>
  </cols>
  <sheetData>
    <row r="16" spans="2:2">
      <c r="B16" s="16"/>
    </row>
    <row r="111" spans="3:5">
      <c r="C111" s="133"/>
      <c r="D111" s="133"/>
      <c r="E111" s="133"/>
    </row>
  </sheetData>
  <sheetProtection algorithmName="SHA-512" hashValue="aYy16e4Ckbe2ggnUjOHEa5QJcLHGCpfi5tlJHRSu7RYM4sQ/Ch71ew7RTCEzQpex98xKLPmbAGGwhwx+IF8IPQ==" saltValue="uNDBRx6e55cey5I/+KaeLg==" spinCount="100000" sheet="1" objects="1" scenarios="1"/>
  <mergeCells count="1">
    <mergeCell ref="C111:E1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DDBBB-407F-4D91-9620-2D77CF6C9148}">
  <sheetPr codeName="Blad5">
    <tabColor theme="0" tint="-0.34998626667073579"/>
  </sheetPr>
  <dimension ref="A14:Q54"/>
  <sheetViews>
    <sheetView showGridLines="0" showRowColHeaders="0" zoomScaleNormal="100" workbookViewId="0">
      <selection activeCell="F25" sqref="F25"/>
    </sheetView>
  </sheetViews>
  <sheetFormatPr defaultColWidth="8.86328125" defaultRowHeight="14.25"/>
  <cols>
    <col min="1" max="1" width="10.86328125" customWidth="1"/>
    <col min="2" max="2" width="38.46484375" customWidth="1"/>
    <col min="3" max="3" width="10.53125" customWidth="1"/>
    <col min="4" max="4" width="10.46484375" customWidth="1"/>
    <col min="5" max="5" width="14.1328125" bestFit="1" customWidth="1"/>
    <col min="7" max="7" width="21.86328125" bestFit="1" customWidth="1"/>
    <col min="8" max="8" width="14.1328125" bestFit="1" customWidth="1"/>
  </cols>
  <sheetData>
    <row r="14" spans="1:1">
      <c r="A14" s="35"/>
    </row>
    <row r="18" spans="2:12">
      <c r="D18" s="29"/>
    </row>
    <row r="19" spans="2:12" ht="10.5" customHeight="1"/>
    <row r="20" spans="2:12" ht="18">
      <c r="B20" s="131"/>
    </row>
    <row r="22" spans="2:12">
      <c r="B22" s="105" t="s">
        <v>7</v>
      </c>
      <c r="C22" s="106"/>
      <c r="D22" s="106"/>
      <c r="E22" s="106"/>
      <c r="F22" s="106"/>
      <c r="G22" s="106"/>
      <c r="H22" s="106"/>
      <c r="I22" s="106"/>
      <c r="J22" s="106"/>
      <c r="K22" s="106"/>
      <c r="L22" s="106"/>
    </row>
    <row r="23" spans="2:12">
      <c r="B23" s="109"/>
      <c r="C23" s="109"/>
      <c r="D23" s="109"/>
      <c r="E23" s="109"/>
      <c r="F23" s="109"/>
      <c r="G23" s="109"/>
      <c r="H23" s="109"/>
      <c r="I23" s="109"/>
      <c r="J23" s="109"/>
      <c r="K23" s="109"/>
      <c r="L23" s="109"/>
    </row>
    <row r="24" spans="2:12">
      <c r="B24" t="s">
        <v>8</v>
      </c>
      <c r="F24" s="103"/>
    </row>
    <row r="25" spans="2:12">
      <c r="B25" t="s">
        <v>9</v>
      </c>
    </row>
    <row r="26" spans="2:12" ht="8.1" customHeight="1"/>
    <row r="27" spans="2:12">
      <c r="B27" s="16" t="str">
        <f>IF(F24="nee", "Deze regeling is bedoeld voor medewerkers in belastende functies. Je kunt helaas niet deelnemen aan de regeling generatiebeleid.","")</f>
        <v/>
      </c>
    </row>
    <row r="28" spans="2:12" ht="8.4499999999999993" customHeight="1"/>
    <row r="29" spans="2:12">
      <c r="B29" s="107" t="s">
        <v>10</v>
      </c>
      <c r="C29" s="108"/>
      <c r="D29" s="108"/>
      <c r="E29" s="108"/>
      <c r="F29" s="108"/>
      <c r="G29" s="108"/>
      <c r="H29" s="108"/>
      <c r="I29" s="108"/>
      <c r="J29" s="108"/>
      <c r="K29" s="108"/>
      <c r="L29" s="108"/>
    </row>
    <row r="30" spans="2:12">
      <c r="B30" s="109"/>
      <c r="C30" s="109"/>
      <c r="D30" s="109"/>
      <c r="E30" s="109"/>
      <c r="F30" s="109"/>
      <c r="G30" s="109"/>
      <c r="H30" s="109"/>
      <c r="I30" s="109"/>
      <c r="J30" s="109"/>
      <c r="K30" s="109"/>
      <c r="L30" s="109"/>
    </row>
    <row r="31" spans="2:12">
      <c r="B31" t="s">
        <v>11</v>
      </c>
      <c r="C31" s="103"/>
      <c r="E31" s="20" t="s">
        <v>12</v>
      </c>
    </row>
    <row r="32" spans="2:12">
      <c r="E32" s="20"/>
    </row>
    <row r="33" spans="2:17" ht="6" customHeight="1"/>
    <row r="34" spans="2:17">
      <c r="B34" s="16" t="str">
        <f>IF(C31="","",IF(C31&lt;=Basistabellen!C15,"Je moet na deelname minimaal 24 uur blijven werken. Op basis van het aantal uren dat je werkt  kun je helaas niet deelnemen aan de regeling.",IF(C31*Basistabellen!C6&lt;=Basistabellen!C15,"Je moet na deelname minimaal "&amp;Basistabellen!C15&amp;" uur blijven werken. Je kunt daarom slechts voor "&amp;ROUND(C31-Basistabellen!C15,1)&amp;" uur deelnemen aan de regeling.","")))</f>
        <v/>
      </c>
      <c r="C34" s="16"/>
      <c r="D34" s="16"/>
      <c r="E34" s="16"/>
      <c r="F34" s="16"/>
      <c r="G34" s="16"/>
      <c r="H34" s="16"/>
      <c r="I34" s="16"/>
      <c r="J34" s="16"/>
      <c r="K34" s="16"/>
      <c r="L34" s="16"/>
    </row>
    <row r="36" spans="2:17">
      <c r="B36" s="105" t="s">
        <v>13</v>
      </c>
      <c r="C36" s="106"/>
      <c r="D36" s="106"/>
      <c r="E36" s="106"/>
      <c r="F36" s="106"/>
      <c r="G36" s="106"/>
      <c r="H36" s="106"/>
      <c r="I36" s="106"/>
      <c r="J36" s="106"/>
      <c r="K36" s="106"/>
      <c r="L36" s="106"/>
    </row>
    <row r="37" spans="2:17">
      <c r="B37" s="109"/>
      <c r="C37" s="109"/>
      <c r="D37" s="109"/>
      <c r="E37" s="109"/>
      <c r="F37" s="109"/>
      <c r="G37" s="109"/>
      <c r="H37" s="109"/>
      <c r="I37" s="109"/>
      <c r="J37" s="109"/>
      <c r="K37" s="109"/>
      <c r="L37" s="109"/>
    </row>
    <row r="38" spans="2:17">
      <c r="B38" t="s">
        <v>14</v>
      </c>
      <c r="C38" s="104"/>
      <c r="E38" s="20" t="s">
        <v>15</v>
      </c>
      <c r="H38" s="20"/>
      <c r="I38" s="20"/>
      <c r="J38" s="20"/>
      <c r="K38" s="20"/>
      <c r="L38" s="20"/>
      <c r="M38" s="20"/>
    </row>
    <row r="39" spans="2:17">
      <c r="E39" s="20" t="s">
        <v>16</v>
      </c>
      <c r="H39" s="20"/>
      <c r="I39" s="20"/>
      <c r="J39" s="20"/>
      <c r="K39" s="20"/>
      <c r="L39" s="20"/>
      <c r="M39" s="20"/>
    </row>
    <row r="40" spans="2:17" ht="8.4499999999999993" customHeight="1">
      <c r="E40" s="20"/>
      <c r="H40" s="20"/>
      <c r="I40" s="20"/>
      <c r="J40" s="20"/>
      <c r="K40" s="20"/>
      <c r="L40" s="20"/>
      <c r="M40" s="20"/>
    </row>
    <row r="41" spans="2:17">
      <c r="B41" s="16" t="str">
        <f ca="1">IFERROR(IF(Rekenblad!C46=1,Rekenblad!D46,""),"")</f>
        <v/>
      </c>
      <c r="E41" s="20"/>
      <c r="H41" s="20"/>
      <c r="I41" s="20"/>
      <c r="J41" s="20"/>
      <c r="K41" s="20"/>
      <c r="L41" s="20"/>
      <c r="M41" s="20"/>
      <c r="Q41" t="s">
        <v>3</v>
      </c>
    </row>
    <row r="42" spans="2:17" ht="6" customHeight="1"/>
    <row r="43" spans="2:17">
      <c r="B43" s="105" t="s">
        <v>17</v>
      </c>
      <c r="C43" s="106"/>
      <c r="D43" s="106"/>
      <c r="E43" s="106"/>
      <c r="F43" s="106"/>
      <c r="G43" s="106"/>
      <c r="H43" s="106"/>
      <c r="I43" s="106"/>
      <c r="J43" s="106"/>
      <c r="K43" s="106"/>
      <c r="L43" s="106"/>
    </row>
    <row r="44" spans="2:17">
      <c r="B44" s="109"/>
      <c r="C44" s="109"/>
      <c r="D44" s="109"/>
      <c r="E44" s="109"/>
      <c r="F44" s="109"/>
      <c r="G44" s="109"/>
      <c r="H44" s="109"/>
      <c r="I44" s="109"/>
      <c r="J44" s="109"/>
      <c r="K44" s="109"/>
      <c r="L44" s="109"/>
    </row>
    <row r="45" spans="2:17">
      <c r="B45" t="s">
        <v>18</v>
      </c>
      <c r="C45" s="104"/>
      <c r="E45" s="20"/>
    </row>
    <row r="46" spans="2:17">
      <c r="E46" s="20"/>
    </row>
    <row r="47" spans="2:17">
      <c r="B47" s="16" t="str">
        <f>IFERROR(IF(Rekenblad!C11&gt;Rekenblad!C7,Rekenblad!D47,_xlfn.XLOOKUP(1,Rekenblad!C40:C45,Rekenblad!D40:D45)),"")</f>
        <v/>
      </c>
      <c r="C47" s="16"/>
      <c r="D47" s="16"/>
      <c r="E47" s="16"/>
      <c r="F47" s="16"/>
      <c r="G47" s="16"/>
      <c r="H47" s="16"/>
      <c r="I47" s="16"/>
      <c r="J47" s="16"/>
      <c r="K47" s="16"/>
      <c r="L47" s="16"/>
    </row>
    <row r="49" spans="2:10">
      <c r="B49" s="16" t="e">
        <f>IF(Rekenblad!C11&gt;=Rekenblad!C7,"","Let op: de start van deelname aan het Generatiepact ligt uiterlijk op 31 december 2025. Of starten met deelname na dat tijdstip nog mogelijk is, wordt in 2024 door cao-partijen bekendgemaakt.")</f>
        <v>#VALUE!</v>
      </c>
      <c r="J49" s="35"/>
    </row>
    <row r="50" spans="2:10">
      <c r="B50" s="27"/>
      <c r="J50" s="35"/>
    </row>
    <row r="54" spans="2:10">
      <c r="B54" s="134"/>
      <c r="C54" s="134"/>
      <c r="D54" s="134"/>
    </row>
  </sheetData>
  <sheetProtection algorithmName="SHA-512" hashValue="cb4FkNZNibxqFgnEUUXOWzJJkdGwKRC9xTGztCt9MsgI19grlq/Kwgh27aZAlsXyzuiz/Pf4k58Eg1l7J4KZGA==" saltValue="tqUYxZVB87ASh20bRZTXAg==" spinCount="100000" sheet="1" objects="1" scenarios="1"/>
  <mergeCells count="1">
    <mergeCell ref="B54:D54"/>
  </mergeCells>
  <conditionalFormatting sqref="A42:XFD47">
    <cfRule type="expression" dxfId="14" priority="6">
      <formula>OR($F$24="",$F$24="nee")</formula>
    </cfRule>
  </conditionalFormatting>
  <conditionalFormatting sqref="A43:XFD44 A45:F46 H45:XFD46">
    <cfRule type="expression" dxfId="13" priority="29">
      <formula>$C$38=""</formula>
    </cfRule>
  </conditionalFormatting>
  <conditionalFormatting sqref="B49">
    <cfRule type="expression" dxfId="11" priority="1">
      <formula>OR($F$24="",$C$31="",$C$38="",$C$45="")</formula>
    </cfRule>
  </conditionalFormatting>
  <conditionalFormatting sqref="B27:L27">
    <cfRule type="expression" dxfId="10" priority="14">
      <formula>$F$24="nee"</formula>
    </cfRule>
  </conditionalFormatting>
  <conditionalFormatting sqref="B41:L41">
    <cfRule type="expression" dxfId="8" priority="11">
      <formula>$B$41&lt;&gt;""</formula>
    </cfRule>
  </conditionalFormatting>
  <conditionalFormatting sqref="B47:L47">
    <cfRule type="expression" dxfId="7" priority="4" stopIfTrue="1">
      <formula>AND(OR($F$24="",$C$31="",$C$38="",$C$45="",$C$31&lt;=24),OR($C$38&lt;&gt;"",$C$45&lt;&gt;""))</formula>
    </cfRule>
    <cfRule type="expression" dxfId="6" priority="5">
      <formula>AND($C$45&lt;&gt;"",$C$38&lt;&gt;"")</formula>
    </cfRule>
  </conditionalFormatting>
  <conditionalFormatting sqref="C41:XFD41 A29:XFD40 A41">
    <cfRule type="expression" dxfId="5" priority="23">
      <formula>OR($F$24="",$F$24="nee")</formula>
    </cfRule>
  </conditionalFormatting>
  <dataValidations count="2">
    <dataValidation type="decimal" allowBlank="1" showInputMessage="1" showErrorMessage="1" errorTitle="Verkeerde invoer" error="Voer hier een getal in tussen 0 en 40 uur." sqref="C31" xr:uid="{42B9EE5A-E450-42B6-AA2D-E2BD6905F151}">
      <formula1>0</formula1>
      <formula2>40</formula2>
    </dataValidation>
    <dataValidation type="list" allowBlank="1" showInputMessage="1" showErrorMessage="1" sqref="F24" xr:uid="{42BAECBD-0FD1-4D8D-A92A-2227EBDAC7E0}">
      <formula1>"ja,nee"</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9" id="{6B0D08E6-BA86-423B-A1F1-ED3DD4978396}">
            <xm:f>Rekenblad!#REF!=0</xm:f>
            <x14:dxf>
              <font>
                <color theme="0"/>
              </font>
              <fill>
                <patternFill>
                  <bgColor theme="0"/>
                </patternFill>
              </fill>
              <border>
                <left/>
                <right/>
                <top/>
                <bottom/>
                <vertical/>
                <horizontal/>
              </border>
            </x14:dxf>
          </x14:cfRule>
          <xm:sqref>A34:XFD34</xm:sqref>
        </x14:conditionalFormatting>
        <x14:conditionalFormatting xmlns:xm="http://schemas.microsoft.com/office/excel/2006/main">
          <x14:cfRule type="expression" priority="42" id="{D7DD8C85-3CFF-49DA-8610-2496946B4E9E}">
            <xm:f>OR($C$31="",$C$31&lt;=Basistabellen!$C$15)</xm:f>
            <x14:dxf>
              <font>
                <color theme="0"/>
              </font>
              <fill>
                <patternFill patternType="none">
                  <bgColor auto="1"/>
                </patternFill>
              </fill>
              <border>
                <left/>
                <right/>
                <top/>
                <bottom/>
              </border>
            </x14:dxf>
          </x14:cfRule>
          <xm:sqref>A42:XFD44 A45:F46 H45:XFD46 A36:XFD37 A38:F40 H38:XFD41 A41 C41:F41</xm:sqref>
        </x14:conditionalFormatting>
        <x14:conditionalFormatting xmlns:xm="http://schemas.microsoft.com/office/excel/2006/main">
          <x14:cfRule type="expression" priority="13" id="{E35905AF-FA38-47D2-B7EB-9D90DD6AB389}">
            <xm:f>Rekenblad!$C$46=1</xm:f>
            <x14:dxf>
              <font>
                <color theme="0"/>
              </font>
              <fill>
                <patternFill>
                  <bgColor theme="0"/>
                </patternFill>
              </fill>
              <border>
                <left/>
                <right/>
                <top/>
                <bottom/>
                <vertical/>
                <horizontal/>
              </border>
            </x14:dxf>
          </x14:cfRule>
          <xm:sqref>A43:XFD46 A47 M47:XFD47</xm:sqref>
        </x14:conditionalFormatting>
        <x14:conditionalFormatting xmlns:xm="http://schemas.microsoft.com/office/excel/2006/main">
          <x14:cfRule type="expression" priority="48" id="{D5BBD009-C7F9-49A4-AFF3-4A17E27B0678}">
            <xm:f>AND($C$31&lt;&gt;"",$C$31*Basistabellen!$C$6&lt;24)</xm:f>
            <x14:dxf>
              <fill>
                <patternFill>
                  <bgColor rgb="FFFFCC00"/>
                </patternFill>
              </fill>
            </x14:dxf>
          </x14:cfRule>
          <xm:sqref>B34:L34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1CB25-ECBB-45EC-B5EF-15863D8EF3E7}">
  <sheetPr codeName="Blad6">
    <tabColor theme="0" tint="-0.34998626667073579"/>
  </sheetPr>
  <dimension ref="B36:T68"/>
  <sheetViews>
    <sheetView showGridLines="0" showRowColHeaders="0" zoomScaleNormal="100" workbookViewId="0">
      <selection activeCell="D41" sqref="D41"/>
    </sheetView>
  </sheetViews>
  <sheetFormatPr defaultRowHeight="14.25"/>
  <cols>
    <col min="1" max="1" width="10.86328125" customWidth="1"/>
    <col min="2" max="2" width="1.86328125" customWidth="1"/>
    <col min="3" max="3" width="17.1328125" customWidth="1"/>
    <col min="7" max="7" width="14" bestFit="1" customWidth="1"/>
    <col min="8" max="8" width="19.1328125" customWidth="1"/>
    <col min="9" max="10" width="13.86328125" customWidth="1"/>
    <col min="13" max="13" width="11.1328125" customWidth="1"/>
    <col min="17" max="17" width="8.86328125" customWidth="1"/>
    <col min="20" max="20" width="3.86328125" customWidth="1"/>
  </cols>
  <sheetData>
    <row r="36" spans="3:15">
      <c r="G36" s="27" t="str">
        <f>IF(Rekenblad!D56=1,"","LET OP! U heeft niet alle velden bij -Kan ik deelnemen?- ingevuld!")</f>
        <v>LET OP! U heeft niet alle velden bij -Kan ik deelnemen?- ingevuld!</v>
      </c>
    </row>
    <row r="37" spans="3:15">
      <c r="C37" s="107" t="s">
        <v>19</v>
      </c>
      <c r="D37" s="108"/>
      <c r="E37" s="108"/>
      <c r="F37" s="108"/>
      <c r="G37" s="108"/>
      <c r="H37" s="108"/>
      <c r="I37" s="108"/>
      <c r="J37" s="108"/>
      <c r="K37" s="108"/>
      <c r="L37" s="108"/>
      <c r="M37" s="108"/>
    </row>
    <row r="38" spans="3:15">
      <c r="C38" s="111" t="s">
        <v>20</v>
      </c>
      <c r="D38" s="111"/>
      <c r="E38" s="111"/>
      <c r="F38" s="111"/>
      <c r="G38" s="111"/>
      <c r="H38" s="111"/>
      <c r="I38" s="111"/>
      <c r="J38" s="111"/>
      <c r="K38" s="111"/>
      <c r="L38" s="111"/>
      <c r="M38" s="111"/>
      <c r="N38" s="111"/>
      <c r="O38" s="111"/>
    </row>
    <row r="40" spans="3:15">
      <c r="C40" t="s">
        <v>21</v>
      </c>
      <c r="D40" s="63"/>
      <c r="E40" t="s">
        <v>22</v>
      </c>
      <c r="G40" s="20"/>
      <c r="L40" s="79"/>
    </row>
    <row r="43" spans="3:15">
      <c r="C43" s="107" t="s">
        <v>23</v>
      </c>
      <c r="D43" s="108"/>
      <c r="E43" s="108"/>
      <c r="F43" s="108"/>
      <c r="G43" s="108"/>
      <c r="H43" s="108"/>
      <c r="I43" s="108"/>
      <c r="J43" s="108"/>
      <c r="K43" s="108"/>
      <c r="L43" s="108"/>
      <c r="M43" s="108"/>
      <c r="N43" s="108"/>
      <c r="O43" s="108"/>
    </row>
    <row r="44" spans="3:15" ht="7.5" customHeight="1">
      <c r="C44" s="111"/>
      <c r="D44" s="111"/>
      <c r="E44" s="111"/>
      <c r="F44" s="111"/>
      <c r="G44" s="111"/>
      <c r="H44" s="111"/>
      <c r="I44" s="111"/>
      <c r="J44" s="111"/>
      <c r="K44" s="111"/>
      <c r="L44" s="111"/>
      <c r="M44" s="111"/>
      <c r="N44" s="111"/>
      <c r="O44" s="111"/>
    </row>
    <row r="45" spans="3:15">
      <c r="C45" t="s">
        <v>24</v>
      </c>
    </row>
    <row r="46" spans="3:15" ht="7.5" customHeight="1"/>
    <row r="47" spans="3:15">
      <c r="C47" t="s">
        <v>25</v>
      </c>
      <c r="D47" s="118"/>
      <c r="E47" t="s">
        <v>26</v>
      </c>
    </row>
    <row r="48" spans="3:15" ht="8.1" customHeight="1">
      <c r="D48" t="s">
        <v>5</v>
      </c>
    </row>
    <row r="50" spans="2:20">
      <c r="C50" t="str">
        <f>"Je hebt aangegeven nog "&amp;'Mijn gegevens'!D47&amp;" uur aan LFB te hebben. Dat "&amp;IF(ROUND(D47/7.2,0)=1," is ","zijn ")&amp;"ongeveer "&amp;ROUND(D47/7.2,0)&amp;IF(ROUND(D47/7.2,0)=1," dag."," dagen.")</f>
        <v>Je hebt aangegeven nog  uur aan LFB te hebben. Dat zijn ongeveer 0 dagen.</v>
      </c>
    </row>
    <row r="51" spans="2:20">
      <c r="C51" t="str">
        <f>IFERROR("Op basis van jouw arbeidsovereenkomst van "&amp;'Kan ik deelnemen '!C31&amp;" uur per week, stellen we dit gelijk aan ongeveer "&amp;ROUND('Mijn gegevens'!D47/'Kan ik deelnemen '!C31,1)&amp;" weken.","")</f>
        <v/>
      </c>
    </row>
    <row r="53" spans="2:20" ht="6.6" customHeight="1">
      <c r="B53" s="102"/>
      <c r="C53" s="110"/>
      <c r="D53" s="110"/>
      <c r="E53" s="110"/>
      <c r="F53" s="110"/>
      <c r="G53" s="110"/>
      <c r="H53" s="110"/>
      <c r="I53" s="110"/>
      <c r="J53" s="110"/>
      <c r="K53" s="110"/>
      <c r="L53" s="110"/>
      <c r="M53" s="110"/>
      <c r="N53" s="110"/>
      <c r="O53" s="110"/>
      <c r="P53" s="102"/>
      <c r="Q53" s="102"/>
      <c r="R53" s="102"/>
      <c r="S53" s="102"/>
      <c r="T53" s="102"/>
    </row>
    <row r="54" spans="2:20">
      <c r="B54" s="102"/>
      <c r="C54" s="112" t="s">
        <v>27</v>
      </c>
      <c r="D54" s="110"/>
      <c r="E54" s="110"/>
      <c r="F54" s="110"/>
      <c r="G54" s="110"/>
      <c r="H54" s="110"/>
      <c r="I54" s="110"/>
      <c r="J54" s="110"/>
      <c r="K54" s="110"/>
      <c r="L54" s="110"/>
      <c r="M54" s="110"/>
      <c r="N54" s="110"/>
      <c r="O54" s="110"/>
      <c r="P54" s="102"/>
      <c r="Q54" s="102"/>
      <c r="R54" s="102"/>
      <c r="S54" s="102"/>
      <c r="T54" s="102"/>
    </row>
    <row r="55" spans="2:20" ht="6" customHeight="1">
      <c r="B55" s="102"/>
      <c r="C55" s="112"/>
      <c r="D55" s="110"/>
      <c r="E55" s="110"/>
      <c r="F55" s="110"/>
      <c r="G55" s="110"/>
      <c r="H55" s="110"/>
      <c r="I55" s="110"/>
      <c r="J55" s="110"/>
      <c r="K55" s="110"/>
      <c r="L55" s="110"/>
      <c r="M55" s="110"/>
      <c r="N55" s="110"/>
      <c r="O55" s="110"/>
      <c r="P55" s="102"/>
      <c r="Q55" s="102"/>
      <c r="R55" s="102"/>
      <c r="S55" s="102"/>
      <c r="T55" s="102"/>
    </row>
    <row r="56" spans="2:20">
      <c r="B56" s="102"/>
      <c r="C56" s="113" t="s">
        <v>28</v>
      </c>
      <c r="D56" s="110"/>
      <c r="E56" s="110"/>
      <c r="F56" s="110"/>
      <c r="G56" s="110"/>
      <c r="H56" s="110"/>
      <c r="I56" s="110"/>
      <c r="J56" s="110"/>
      <c r="K56" s="110"/>
      <c r="L56" s="110"/>
      <c r="M56" s="110"/>
      <c r="N56" s="110"/>
      <c r="O56" s="110"/>
      <c r="P56" s="102"/>
      <c r="Q56" s="102"/>
      <c r="R56" s="102"/>
      <c r="S56" s="102"/>
      <c r="T56" s="102"/>
    </row>
    <row r="57" spans="2:20">
      <c r="B57" s="102"/>
      <c r="C57" s="113" t="str">
        <f>"worden de voor jou resterende (gespaarde) LFB-uren verminderd met 20%. Dat betekent dat je saldo in dat geval wordt verlaagd naar ongeveer "&amp;ROUNDDOWN(Saldo_lfb*Basistabellen!C6,0)&amp;" uur."</f>
        <v>worden de voor jou resterende (gespaarde) LFB-uren verminderd met 20%. Dat betekent dat je saldo in dat geval wordt verlaagd naar ongeveer 0 uur.</v>
      </c>
      <c r="D57" s="110"/>
      <c r="E57" s="110"/>
      <c r="F57" s="110"/>
      <c r="G57" s="110"/>
      <c r="H57" s="110"/>
      <c r="I57" s="110"/>
      <c r="J57" s="110"/>
      <c r="K57" s="110"/>
      <c r="L57" s="110"/>
      <c r="M57" s="110"/>
      <c r="N57" s="110"/>
      <c r="O57" s="110"/>
      <c r="P57" s="102"/>
      <c r="Q57" s="102"/>
      <c r="R57" s="102"/>
      <c r="S57" s="102"/>
      <c r="T57" s="102"/>
    </row>
    <row r="58" spans="2:20" ht="5.45" customHeight="1">
      <c r="B58" s="102"/>
      <c r="C58" s="113"/>
      <c r="D58" s="110"/>
      <c r="E58" s="110"/>
      <c r="F58" s="110"/>
      <c r="G58" s="110"/>
      <c r="H58" s="110"/>
      <c r="I58" s="110"/>
      <c r="J58" s="110"/>
      <c r="K58" s="110"/>
      <c r="L58" s="110"/>
      <c r="M58" s="110"/>
      <c r="N58" s="110"/>
      <c r="O58" s="110"/>
      <c r="P58" s="102"/>
      <c r="Q58" s="102"/>
      <c r="R58" s="102"/>
      <c r="S58" s="102"/>
      <c r="T58" s="102"/>
    </row>
    <row r="59" spans="2:20">
      <c r="B59" s="102"/>
      <c r="C59" s="113" t="s">
        <v>29</v>
      </c>
      <c r="D59" s="110"/>
      <c r="E59" s="110"/>
      <c r="F59" s="110"/>
      <c r="G59" s="110"/>
      <c r="H59" s="110"/>
      <c r="I59" s="110"/>
      <c r="J59" s="110"/>
      <c r="K59" s="110"/>
      <c r="L59" s="110"/>
      <c r="M59" s="110"/>
      <c r="N59" s="110"/>
      <c r="O59" s="110"/>
      <c r="P59" s="102"/>
      <c r="Q59" s="102"/>
      <c r="R59" s="102"/>
      <c r="S59" s="102"/>
      <c r="T59" s="102"/>
    </row>
    <row r="60" spans="2:20">
      <c r="B60" s="102"/>
      <c r="C60" s="113" t="s">
        <v>30</v>
      </c>
      <c r="D60" s="110"/>
      <c r="E60" s="110"/>
      <c r="F60" s="110"/>
      <c r="G60" s="110"/>
      <c r="H60" s="110"/>
      <c r="I60" s="110"/>
      <c r="J60" s="110"/>
      <c r="K60" s="110"/>
      <c r="L60" s="110"/>
      <c r="M60" s="110"/>
      <c r="N60" s="110"/>
      <c r="O60" s="110"/>
      <c r="P60" s="102"/>
      <c r="Q60" s="102"/>
      <c r="R60" s="102"/>
      <c r="S60" s="102"/>
      <c r="T60" s="102"/>
    </row>
    <row r="61" spans="2:20" ht="5.45" customHeight="1">
      <c r="B61" s="102"/>
      <c r="C61" s="113"/>
      <c r="D61" s="110"/>
      <c r="E61" s="110"/>
      <c r="F61" s="110"/>
      <c r="G61" s="110"/>
      <c r="H61" s="110"/>
      <c r="I61" s="110"/>
      <c r="J61" s="110"/>
      <c r="K61" s="110"/>
      <c r="L61" s="110"/>
      <c r="M61" s="110"/>
      <c r="N61" s="110"/>
      <c r="O61" s="110"/>
      <c r="P61" s="102"/>
      <c r="Q61" s="102"/>
      <c r="R61" s="102"/>
      <c r="S61" s="102"/>
      <c r="T61" s="102"/>
    </row>
    <row r="63" spans="2:20">
      <c r="C63" t="str">
        <f>IFERROR(IF(OR(Saldo_lfb=0,Saldo_lfb=""),"",Rekenblad!B35),"")</f>
        <v/>
      </c>
    </row>
    <row r="68" spans="3:5">
      <c r="C68" s="135"/>
      <c r="D68" s="135"/>
      <c r="E68" s="135"/>
    </row>
  </sheetData>
  <sheetProtection algorithmName="SHA-512" hashValue="uKLRe5uC8zp/GbQ6Lhm7xZVLxDqlUCNcrmfSrNdR1Tx04RefIzKvMJl4wG1q6zs2dn5wEV4QRicbUecDd9YaLA==" saltValue="AtOXpOXIelWcR8PSX1Qncg==" spinCount="100000" sheet="1" objects="1" scenarios="1"/>
  <mergeCells count="1">
    <mergeCell ref="C68:E68"/>
  </mergeCells>
  <conditionalFormatting sqref="D49">
    <cfRule type="expression" dxfId="4" priority="40">
      <formula>OR(#REF!=0,#REF!="")</formula>
    </cfRule>
  </conditionalFormatting>
  <conditionalFormatting sqref="D62:T62 C63">
    <cfRule type="expression" dxfId="3" priority="2">
      <formula>OR(LEFT($C$64,2)="Je",LEFT($C$64,3)="Als")</formula>
    </cfRule>
  </conditionalFormatting>
  <conditionalFormatting sqref="D62:XFD62 A63:XFD63 A49:XFD61 A62:B62">
    <cfRule type="expression" dxfId="2" priority="3">
      <formula>OR($D$47=0,$D$47="")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92132-5899-465F-BA3E-777C488C4090}">
  <sheetPr codeName="Blad8">
    <tabColor theme="0" tint="-0.34998626667073579"/>
  </sheetPr>
  <dimension ref="B29:N75"/>
  <sheetViews>
    <sheetView showGridLines="0" showRowColHeaders="0" zoomScaleNormal="100" workbookViewId="0"/>
  </sheetViews>
  <sheetFormatPr defaultRowHeight="14.25"/>
  <cols>
    <col min="1" max="1" width="10.86328125" customWidth="1"/>
    <col min="2" max="2" width="60.53125" customWidth="1"/>
    <col min="3" max="6" width="17.53125" customWidth="1"/>
    <col min="7" max="7" width="8.86328125" customWidth="1"/>
    <col min="9" max="9" width="12" customWidth="1"/>
  </cols>
  <sheetData>
    <row r="29" spans="2:6" ht="19.350000000000001" customHeight="1">
      <c r="C29" s="100" t="str">
        <f>IF(Rekenblad!D62=1,"","Let op! niet alle velden bij -Kan ik deelnemen? en/of Mijn gegevens- zijn ingevuld!")</f>
        <v>Let op! niet alle velden bij -Kan ik deelnemen? en/of Mijn gegevens- zijn ingevuld!</v>
      </c>
    </row>
    <row r="30" spans="2:6">
      <c r="B30" s="107" t="s">
        <v>31</v>
      </c>
      <c r="C30" s="108"/>
      <c r="D30" s="108"/>
      <c r="E30" s="108"/>
    </row>
    <row r="31" spans="2:6" ht="14.65" thickBot="1">
      <c r="B31" s="114" t="s">
        <v>32</v>
      </c>
      <c r="C31" s="115" t="str">
        <f>IFERROR(IF(Rekenblad!C11&gt;=Rekenblad!C7,"N.v.t.",TEXT(Startdatum,"mmmm jjjj")),"N.v.t.")</f>
        <v>N.v.t.</v>
      </c>
      <c r="D31" s="114"/>
      <c r="E31" s="114"/>
      <c r="F31" s="114"/>
    </row>
    <row r="32" spans="2:6" ht="14.65" thickBot="1">
      <c r="B32" t="s">
        <v>33</v>
      </c>
      <c r="C32" s="98" t="str">
        <f>IFERROR(IF(Rekenblad!C11&gt;=Rekenblad!C7,"N.v.t.",TEXT(Rekenblad!C6,"mmmm jjjj")),"N.v.t.")</f>
        <v>N.v.t.</v>
      </c>
    </row>
    <row r="33" spans="2:14">
      <c r="B33" t="s">
        <v>34</v>
      </c>
      <c r="C33" s="98" t="str">
        <f>IFERROR(IF(Rekenblad!C11&gt;=Rekenblad!C7,"N.v.t.",Rekenblad!E19),"N.v.t.")</f>
        <v>N.v.t.</v>
      </c>
    </row>
    <row r="35" spans="2:14">
      <c r="B35" t="s">
        <v>35</v>
      </c>
      <c r="C35" s="64" t="str">
        <f>Basistabellen!C10</f>
        <v>ja</v>
      </c>
    </row>
    <row r="38" spans="2:14">
      <c r="B38" s="107" t="s">
        <v>37</v>
      </c>
      <c r="C38" s="108"/>
      <c r="D38" s="108"/>
      <c r="E38" s="108"/>
    </row>
    <row r="39" spans="2:14">
      <c r="B39" s="114"/>
      <c r="C39" s="114"/>
      <c r="D39" s="116"/>
      <c r="E39" s="116"/>
      <c r="F39" s="114"/>
      <c r="H39" s="21"/>
      <c r="J39" s="21"/>
      <c r="L39" s="21"/>
    </row>
    <row r="40" spans="2:14" ht="57">
      <c r="B40" s="129" t="s">
        <v>38</v>
      </c>
      <c r="C40" s="21" t="s">
        <v>39</v>
      </c>
      <c r="D40" s="128" t="s">
        <v>40</v>
      </c>
      <c r="E40" s="128" t="s">
        <v>41</v>
      </c>
      <c r="F40" s="127" t="s">
        <v>42</v>
      </c>
      <c r="I40" s="21"/>
      <c r="J40" s="21"/>
    </row>
    <row r="41" spans="2:14">
      <c r="B41" s="22" t="s">
        <v>43</v>
      </c>
      <c r="C41" s="97">
        <f>'Bruto-netto'!C7*36</f>
        <v>0</v>
      </c>
      <c r="D41" s="97" t="str">
        <f>E41</f>
        <v/>
      </c>
      <c r="E41" s="97" t="str">
        <f>IF(C31="N.v.t.","",'Bruto-netto'!E7*Basistabellen!C13)</f>
        <v/>
      </c>
      <c r="F41" s="97" t="str">
        <f>IFERROR(E41-C41,"")</f>
        <v/>
      </c>
    </row>
    <row r="42" spans="2:14">
      <c r="B42" s="22"/>
      <c r="C42" s="22"/>
      <c r="D42" s="22"/>
      <c r="E42" s="22"/>
      <c r="F42" s="22"/>
    </row>
    <row r="43" spans="2:14">
      <c r="B43" s="23" t="s">
        <v>44</v>
      </c>
      <c r="C43" s="124">
        <f>'Bruto-netto'!G18</f>
        <v>0</v>
      </c>
      <c r="D43" s="124" t="str">
        <f>IFERROR('Bruto-netto'!H18,"")</f>
        <v/>
      </c>
      <c r="E43" s="124" t="str">
        <f>IF(C31="N.v.t.","",IFERROR('Bruto-netto'!I18,""))</f>
        <v/>
      </c>
      <c r="F43" s="124" t="str">
        <f>IFERROR(E43-C43,"")</f>
        <v/>
      </c>
      <c r="N43" s="27"/>
    </row>
    <row r="44" spans="2:14">
      <c r="B44" s="23" t="s">
        <v>45</v>
      </c>
      <c r="C44" s="124">
        <f>'Bruto-netto'!K93</f>
        <v>259.12729547916666</v>
      </c>
      <c r="D44" s="124" t="str">
        <f>IFERROR('Bruto-netto'!L93,"")</f>
        <v/>
      </c>
      <c r="E44" s="124" t="str">
        <f>IF(C31="N.v.t.","",IFERROR('Bruto-netto'!M93,""))</f>
        <v/>
      </c>
      <c r="F44" s="124" t="str">
        <f>IFERROR(E44-C44,"")</f>
        <v/>
      </c>
    </row>
    <row r="45" spans="2:14">
      <c r="B45" s="23"/>
      <c r="C45" s="23"/>
      <c r="D45" s="23"/>
      <c r="E45" s="23"/>
      <c r="F45" s="23"/>
    </row>
    <row r="46" spans="2:14">
      <c r="B46" t="s">
        <v>46</v>
      </c>
      <c r="C46" s="124">
        <f>MIN(500,Basistabellen!C22*'Bruto-netto'!C7)</f>
        <v>0</v>
      </c>
      <c r="D46" s="124">
        <f>C46*'Bruto-netto'!E7</f>
        <v>0</v>
      </c>
      <c r="E46" s="124" t="str">
        <f>IF($C$31="N.v.t.","",0)</f>
        <v/>
      </c>
      <c r="F46" s="124" t="str">
        <f>IF(C31="N.v.t.","",-C46)</f>
        <v/>
      </c>
      <c r="L46" s="125"/>
    </row>
    <row r="47" spans="2:14">
      <c r="C47" s="119"/>
      <c r="D47" s="119"/>
      <c r="E47" s="119"/>
      <c r="F47" s="119"/>
      <c r="L47" s="125"/>
    </row>
    <row r="48" spans="2:14">
      <c r="B48" t="s">
        <v>47</v>
      </c>
      <c r="C48" s="97">
        <f>ROUNDDOWN(Rekenblad!$C$24*'Bruto-netto'!C7,0)</f>
        <v>0</v>
      </c>
      <c r="D48" s="97">
        <f>ROUNDDOWN(Rekenblad!$C$24*'Bruto-netto'!E7,0)</f>
        <v>23</v>
      </c>
      <c r="E48" s="124" t="str">
        <f>IF($C$31="N.v.t.","",0)</f>
        <v/>
      </c>
      <c r="F48" s="97" t="str">
        <f>IF(C31="N.v.t.","",-C48)</f>
        <v/>
      </c>
      <c r="H48" s="13"/>
    </row>
    <row r="49" spans="2:14">
      <c r="B49" s="25" t="s">
        <v>48</v>
      </c>
    </row>
    <row r="50" spans="2:14">
      <c r="B50" s="25"/>
    </row>
    <row r="51" spans="2:14">
      <c r="B51" s="118" t="s">
        <v>44</v>
      </c>
      <c r="C51" s="120" t="s">
        <v>49</v>
      </c>
      <c r="D51" s="119"/>
    </row>
    <row r="52" spans="2:14">
      <c r="C52" s="117">
        <f>_xlfn.XLOOKUP($B$51,$B$41:$B$44,C41:C44)</f>
        <v>0</v>
      </c>
      <c r="D52" s="117" t="str">
        <f>_xlfn.XLOOKUP($B$51,$B$41:$B$44,D41:D44)</f>
        <v/>
      </c>
      <c r="E52" s="117" t="str">
        <f>_xlfn.XLOOKUP($B$51,$B$41:$B$44,E41:E44)</f>
        <v/>
      </c>
    </row>
    <row r="55" spans="2:14">
      <c r="N55" t="s">
        <v>5</v>
      </c>
    </row>
    <row r="75" spans="2:4">
      <c r="B75" s="101"/>
      <c r="C75" s="101"/>
      <c r="D75" s="101"/>
    </row>
  </sheetData>
  <sheetProtection algorithmName="SHA-512" hashValue="x2hi4QFR8Inrg/vcB3ZWWl26Z1xp8xok/JXV1t+4yDiubi5uVGtTJ/HsmPhvt2KihhiX2LgrWjkZ56LPqhG+cA==" saltValue="oUZR3nMuNG0+ODfFWHz0zA==" spinCount="100000" sheet="1" objects="1" scenarios="1"/>
  <dataValidations count="1">
    <dataValidation type="list" allowBlank="1" showInputMessage="1" showErrorMessage="1" sqref="B51" xr:uid="{D778FD3C-D1AA-41C4-B93D-3CFA86D79ABF}">
      <formula1>$B$41:$B$44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D3671-2DF7-4914-848B-6D157D91EE4B}">
  <sheetPr codeName="Blad10">
    <tabColor theme="0" tint="-0.34998626667073579"/>
  </sheetPr>
  <dimension ref="M8"/>
  <sheetViews>
    <sheetView showGridLines="0" showRowColHeaders="0" zoomScaleNormal="100" workbookViewId="0">
      <selection activeCell="O12" sqref="O12"/>
    </sheetView>
  </sheetViews>
  <sheetFormatPr defaultRowHeight="14.25"/>
  <cols>
    <col min="19" max="19" width="12" customWidth="1"/>
  </cols>
  <sheetData>
    <row r="8" spans="13:13">
      <c r="M8" s="28"/>
    </row>
  </sheetData>
  <sheetProtection algorithmName="SHA-512" hashValue="4gX06R0P0+isuvfwWX9JpD5KPrbc9U5N8VCpqaf6iYLk8CES90X5rI96ZZRn8z/inVUg9zxywABTgfZRAjynLQ==" saltValue="ik9DbAMt2rWp9HlynLLelg==" spinCount="100000"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84BC4-4E6E-4576-A8E5-0ECA60A7F790}">
  <sheetPr codeName="Blad14">
    <tabColor theme="0" tint="-0.249977111117893"/>
  </sheetPr>
  <dimension ref="B1:G69"/>
  <sheetViews>
    <sheetView showGridLines="0" showRowColHeaders="0" workbookViewId="0">
      <selection activeCell="B12" sqref="B12"/>
    </sheetView>
  </sheetViews>
  <sheetFormatPr defaultRowHeight="14.25"/>
  <cols>
    <col min="1" max="1" width="10.86328125" customWidth="1"/>
    <col min="2" max="2" width="64.1328125" bestFit="1" customWidth="1"/>
  </cols>
  <sheetData>
    <row r="1" spans="2:4" s="121" customFormat="1"/>
    <row r="2" spans="2:4" s="121" customFormat="1" ht="23.25">
      <c r="B2" s="122"/>
      <c r="D2" s="123"/>
    </row>
    <row r="3" spans="2:4" s="121" customFormat="1"/>
    <row r="7" spans="2:4" ht="16.899999999999999">
      <c r="B7" s="83" t="s">
        <v>50</v>
      </c>
    </row>
    <row r="8" spans="2:4">
      <c r="B8" s="39" t="s">
        <v>51</v>
      </c>
    </row>
    <row r="9" spans="2:4">
      <c r="B9" s="39" t="s">
        <v>52</v>
      </c>
    </row>
    <row r="10" spans="2:4">
      <c r="B10" s="39" t="s">
        <v>53</v>
      </c>
    </row>
    <row r="11" spans="2:4">
      <c r="B11" s="39" t="s">
        <v>54</v>
      </c>
    </row>
    <row r="12" spans="2:4">
      <c r="B12" s="39" t="s">
        <v>55</v>
      </c>
    </row>
    <row r="13" spans="2:4">
      <c r="B13" s="39" t="s">
        <v>56</v>
      </c>
    </row>
    <row r="14" spans="2:4">
      <c r="B14" s="39"/>
    </row>
    <row r="15" spans="2:4" ht="16.899999999999999">
      <c r="B15" s="83" t="s">
        <v>57</v>
      </c>
    </row>
    <row r="16" spans="2:4">
      <c r="B16" s="39" t="s">
        <v>58</v>
      </c>
    </row>
    <row r="17" spans="2:2">
      <c r="B17" s="39" t="s">
        <v>59</v>
      </c>
    </row>
    <row r="19" spans="2:2" ht="16.899999999999999">
      <c r="B19" s="83" t="s">
        <v>60</v>
      </c>
    </row>
    <row r="20" spans="2:2">
      <c r="B20" s="39" t="s">
        <v>61</v>
      </c>
    </row>
    <row r="21" spans="2:2">
      <c r="B21" s="39" t="s">
        <v>62</v>
      </c>
    </row>
    <row r="22" spans="2:2">
      <c r="B22" s="39" t="s">
        <v>63</v>
      </c>
    </row>
    <row r="23" spans="2:2">
      <c r="B23" s="39" t="s">
        <v>64</v>
      </c>
    </row>
    <row r="25" spans="2:2" ht="16.899999999999999">
      <c r="B25" s="83" t="s">
        <v>65</v>
      </c>
    </row>
    <row r="26" spans="2:2">
      <c r="B26" s="39" t="s">
        <v>66</v>
      </c>
    </row>
    <row r="27" spans="2:2">
      <c r="B27" s="39" t="s">
        <v>67</v>
      </c>
    </row>
    <row r="28" spans="2:2">
      <c r="B28" s="39" t="s">
        <v>68</v>
      </c>
    </row>
    <row r="29" spans="2:2">
      <c r="B29" s="39" t="s">
        <v>69</v>
      </c>
    </row>
    <row r="30" spans="2:2">
      <c r="B30" s="39" t="s">
        <v>70</v>
      </c>
    </row>
    <row r="31" spans="2:2">
      <c r="B31" s="39"/>
    </row>
    <row r="32" spans="2:2" ht="16.899999999999999">
      <c r="B32" s="83" t="s">
        <v>71</v>
      </c>
    </row>
    <row r="33" spans="2:7">
      <c r="B33" t="s">
        <v>72</v>
      </c>
      <c r="G33" s="27"/>
    </row>
    <row r="34" spans="2:7">
      <c r="B34" t="s">
        <v>73</v>
      </c>
    </row>
    <row r="41" spans="2:7" ht="18">
      <c r="B41" s="132" t="s">
        <v>74</v>
      </c>
    </row>
    <row r="42" spans="2:7">
      <c r="B42" t="s">
        <v>75</v>
      </c>
    </row>
    <row r="43" spans="2:7">
      <c r="B43" t="s">
        <v>76</v>
      </c>
    </row>
    <row r="44" spans="2:7">
      <c r="B44" t="s">
        <v>77</v>
      </c>
    </row>
    <row r="47" spans="2:7" ht="18">
      <c r="B47" s="132" t="s">
        <v>78</v>
      </c>
    </row>
    <row r="48" spans="2:7">
      <c r="B48" s="89" t="s">
        <v>79</v>
      </c>
    </row>
    <row r="49" spans="2:2">
      <c r="B49" s="89" t="s">
        <v>80</v>
      </c>
    </row>
    <row r="50" spans="2:2">
      <c r="B50" s="89" t="s">
        <v>81</v>
      </c>
    </row>
    <row r="51" spans="2:2">
      <c r="B51" s="93" t="s">
        <v>82</v>
      </c>
    </row>
    <row r="52" spans="2:2">
      <c r="B52" s="89" t="s">
        <v>83</v>
      </c>
    </row>
    <row r="53" spans="2:2">
      <c r="B53" s="89" t="s">
        <v>84</v>
      </c>
    </row>
    <row r="54" spans="2:2">
      <c r="B54" s="89" t="s">
        <v>85</v>
      </c>
    </row>
    <row r="55" spans="2:2">
      <c r="B55" s="89" t="s">
        <v>86</v>
      </c>
    </row>
    <row r="56" spans="2:2">
      <c r="B56" s="89" t="s">
        <v>87</v>
      </c>
    </row>
    <row r="57" spans="2:2">
      <c r="B57" s="89" t="s">
        <v>88</v>
      </c>
    </row>
    <row r="58" spans="2:2">
      <c r="B58" s="89" t="s">
        <v>89</v>
      </c>
    </row>
    <row r="59" spans="2:2">
      <c r="B59" s="89" t="s">
        <v>90</v>
      </c>
    </row>
    <row r="60" spans="2:2">
      <c r="B60" s="89" t="s">
        <v>91</v>
      </c>
    </row>
    <row r="61" spans="2:2">
      <c r="B61" s="89" t="s">
        <v>92</v>
      </c>
    </row>
    <row r="64" spans="2:2">
      <c r="B64" s="92"/>
    </row>
    <row r="69" spans="2:2">
      <c r="B69" s="101"/>
    </row>
  </sheetData>
  <sheetProtection algorithmName="SHA-512" hashValue="OBmxZkTZ3uxakVmVUdzpQlXyDBTgh4fnowqh/uT6MBeWEgoOhIhHqF1GMDTj0Hjavp/LlcGaSR+r8u/5GXb8+w==" saltValue="iio9E96/pl0CzJMTUlGQGA==" spinCount="100000" sheet="1" objects="1" scenarios="1"/>
  <hyperlinks>
    <hyperlink ref="B11" r:id="rId1" xr:uid="{0ECEF054-CC23-4136-BF34-8F08106E337B}"/>
    <hyperlink ref="B8" r:id="rId2" xr:uid="{CE9CCB28-2E1D-4A63-BD94-F999D7668795}"/>
    <hyperlink ref="B9" r:id="rId3" display="https://www.fbz.nl/" xr:uid="{239E69E4-E617-480F-B469-97F66DDB9BA3}"/>
    <hyperlink ref="B10" r:id="rId4" xr:uid="{6892D9BF-E34D-4C32-9FCB-4ACB0FB1BE0D}"/>
    <hyperlink ref="B16" r:id="rId5" display="https://www.belastingdienst.nl/wps/wcm/connect/nl/toeslagen/toeslagen" xr:uid="{1D2867FE-FBAA-4A9E-A346-C08F10468781}"/>
    <hyperlink ref="B17" r:id="rId6" display="https://www.belastingdienst.nl/wps/wcm/connect/bldcontentnl/belastingdienst/prive/toeslagen/inloggen_op_mijn_toeslagen" xr:uid="{DDC9A12A-771E-4FAB-A4B6-EF042E09763A}"/>
    <hyperlink ref="B20" r:id="rId7" display="https://www.mijnpensioenoverzicht.nl/" xr:uid="{C343853F-C246-461C-B952-013101004FA5}"/>
    <hyperlink ref="B21" r:id="rId8" display="https://www.pfzw.nl/particulieren.html" xr:uid="{AEAF8B6C-0BF8-46F6-BF81-1E82B26E9300}"/>
    <hyperlink ref="B22" r:id="rId9" display="https://auth.pfzw.nl/" xr:uid="{8915F2A2-9023-4990-A5CA-2360EC80AA46}"/>
    <hyperlink ref="B23" r:id="rId10" display="https://www.toekomstverkenner.nl/pfzw/home" xr:uid="{3DFE9165-C823-4717-A712-E2BD4802DDCE}"/>
    <hyperlink ref="B13" r:id="rId11" display="https://www.oofggz.nl/goedwerkenindeggz/" xr:uid="{3487A94C-7F72-4095-AF60-7C24CB99CDD6}"/>
    <hyperlink ref="B12" r:id="rId12" display="https://www.denederlandseggz.nl/" xr:uid="{0C7D179A-30C7-4A85-B66B-670CE6BC321D}"/>
    <hyperlink ref="B27" r:id="rId13" display="https://werkurenberekenaar.nibud.nl/introductie" xr:uid="{6C570326-B2B6-463A-92A1-0697C50DCDB7}"/>
    <hyperlink ref="B28" r:id="rId14" display="https://www.zorginspirator.nl/?gclid=EAIaIQobChMIycGdv-rT_gIVrv93Ch21wgX-EAAYASAAEgKfKPD_BwE" xr:uid="{D7576B25-EC88-42CE-8304-601722A019E8}"/>
    <hyperlink ref="B29" r:id="rId15" display="https://www.oofggz.nl/inzicht-loopbaankeuzes-en-financiele-gevolgen/" xr:uid="{38B28DFF-4861-4943-BFF4-5A1286583D5D}"/>
    <hyperlink ref="B26" r:id="rId16" xr:uid="{E4787715-6217-4FD4-9662-2E76EE34448B}"/>
    <hyperlink ref="B30" r:id="rId17" display="https://www.oofggz.nl/voorlichting-over-regeling-vervroegd-uittreden-rvu/" xr:uid="{60430045-0A07-4CB9-BA33-92226EE94091}"/>
  </hyperlinks>
  <pageMargins left="0.7" right="0.7" top="0.75" bottom="0.75" header="0.3" footer="0.3"/>
  <pageSetup paperSize="9" orientation="portrait" r:id="rId18"/>
  <drawing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76005708773B4E80448E1A53C41FC5" ma:contentTypeVersion="18" ma:contentTypeDescription="Een nieuw document maken." ma:contentTypeScope="" ma:versionID="414a51a037aee33f796804ae40f821ab">
  <xsd:schema xmlns:xsd="http://www.w3.org/2001/XMLSchema" xmlns:xs="http://www.w3.org/2001/XMLSchema" xmlns:p="http://schemas.microsoft.com/office/2006/metadata/properties" xmlns:ns2="cdf11154-8649-421b-9cfc-d9209efdd41a" xmlns:ns3="219c9ed7-571b-4fe9-aa01-ddb34c3546e7" targetNamespace="http://schemas.microsoft.com/office/2006/metadata/properties" ma:root="true" ma:fieldsID="8e2e4eab4b053949e7634611592a5728" ns2:_="" ns3:_="">
    <xsd:import namespace="cdf11154-8649-421b-9cfc-d9209efdd41a"/>
    <xsd:import namespace="219c9ed7-571b-4fe9-aa01-ddb34c3546e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11154-8649-421b-9cfc-d9209efdd4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a59e0519-6d23-4be2-aa53-dfa27fbe82fd"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9c9ed7-571b-4fe9-aa01-ddb34c3546e7"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4e97916e-9ce5-480f-9ab9-feb649b33942}" ma:internalName="TaxCatchAll" ma:showField="CatchAllData" ma:web="219c9ed7-571b-4fe9-aa01-ddb34c3546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df11154-8649-421b-9cfc-d9209efdd41a">
      <Terms xmlns="http://schemas.microsoft.com/office/infopath/2007/PartnerControls"/>
    </lcf76f155ced4ddcb4097134ff3c332f>
    <TaxCatchAll xmlns="219c9ed7-571b-4fe9-aa01-ddb34c3546e7" xsi:nil="true"/>
    <SharedWithUsers xmlns="219c9ed7-571b-4fe9-aa01-ddb34c3546e7">
      <UserInfo>
        <DisplayName>Chris-Jan van Leeuwen</DisplayName>
        <AccountId>14</AccountId>
        <AccountType/>
      </UserInfo>
      <UserInfo>
        <DisplayName>Onno Verbaas</DisplayName>
        <AccountId>1448</AccountId>
        <AccountType/>
      </UserInfo>
      <UserInfo>
        <DisplayName>Jacqueline den Engelsman</DisplayName>
        <AccountId>22274</AccountId>
        <AccountType/>
      </UserInfo>
    </SharedWithUsers>
  </documentManagement>
</p:properties>
</file>

<file path=customXml/itemProps1.xml><?xml version="1.0" encoding="utf-8"?>
<ds:datastoreItem xmlns:ds="http://schemas.openxmlformats.org/officeDocument/2006/customXml" ds:itemID="{AD1996C4-87FB-4537-8D7A-449853387F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f11154-8649-421b-9cfc-d9209efdd41a"/>
    <ds:schemaRef ds:uri="219c9ed7-571b-4fe9-aa01-ddb34c3546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0EB92A-9802-49BD-9BCF-8F08E4BFD27B}">
  <ds:schemaRefs>
    <ds:schemaRef ds:uri="http://schemas.microsoft.com/sharepoint/v3/contenttype/forms"/>
  </ds:schemaRefs>
</ds:datastoreItem>
</file>

<file path=customXml/itemProps3.xml><?xml version="1.0" encoding="utf-8"?>
<ds:datastoreItem xmlns:ds="http://schemas.openxmlformats.org/officeDocument/2006/customXml" ds:itemID="{0EAD72BB-D2AE-45E6-B7E6-3E46E0F950B3}">
  <ds:schemaRefs>
    <ds:schemaRef ds:uri="http://www.w3.org/XML/1998/namespace"/>
    <ds:schemaRef ds:uri="http://purl.org/dc/elements/1.1/"/>
    <ds:schemaRef ds:uri="cdf11154-8649-421b-9cfc-d9209efdd41a"/>
    <ds:schemaRef ds:uri="219c9ed7-571b-4fe9-aa01-ddb34c3546e7"/>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14</vt:i4>
      </vt:variant>
      <vt:variant>
        <vt:lpstr>Benoemde bereiken</vt:lpstr>
      </vt:variant>
      <vt:variant>
        <vt:i4>6</vt:i4>
      </vt:variant>
    </vt:vector>
  </HeadingPairs>
  <TitlesOfParts>
    <vt:vector size="20" baseType="lpstr">
      <vt:lpstr>Home</vt:lpstr>
      <vt:lpstr>Menu</vt:lpstr>
      <vt:lpstr>De regeling</vt:lpstr>
      <vt:lpstr>Gevolgen van deelname</vt:lpstr>
      <vt:lpstr>Kan ik deelnemen </vt:lpstr>
      <vt:lpstr>Mijn gegevens</vt:lpstr>
      <vt:lpstr>Inzicht</vt:lpstr>
      <vt:lpstr>Mijn tijdslijn</vt:lpstr>
      <vt:lpstr>Nuttige links</vt:lpstr>
      <vt:lpstr>Klad</vt:lpstr>
      <vt:lpstr>Bruto-netto</vt:lpstr>
      <vt:lpstr>Rekenblad</vt:lpstr>
      <vt:lpstr>Basistabellen</vt:lpstr>
      <vt:lpstr>Grafiekgegevens</vt:lpstr>
      <vt:lpstr>Inzicht!Afdrukbereik</vt:lpstr>
      <vt:lpstr>AOW_tabel</vt:lpstr>
      <vt:lpstr>Geb_dat</vt:lpstr>
      <vt:lpstr>Invoer_VV</vt:lpstr>
      <vt:lpstr>Saldo_lfb</vt:lpstr>
      <vt:lpstr>Startdatum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Onno Verbaas</dc:creator>
  <cp:keywords/>
  <dc:description/>
  <cp:lastModifiedBy>Jacqueline den Engelsman</cp:lastModifiedBy>
  <cp:revision/>
  <dcterms:created xsi:type="dcterms:W3CDTF">2022-08-23T16:16:12Z</dcterms:created>
  <dcterms:modified xsi:type="dcterms:W3CDTF">2023-08-31T14:03:15Z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0x0101005976005708773B4E80448E1A53C41FC5</vt:lpwstr>
  </property>
  <property fmtid="{D5CDD505-2E9C-101B-9397-08002B2CF9AE}" pid="3" name="MediaServiceImageTags">
    <vt:lpwstr/>
  </property>
  <property fmtid="{D5CDD505-2E9C-101B-9397-08002B2CF9AE}" pid="4" name="MSIP_Label_760f1e71-d892-4c8b-bcc3-95f8fd283f9c_Enabled">
    <vt:lpwstr>True</vt:lpwstr>
  </property>
  <property fmtid="{D5CDD505-2E9C-101B-9397-08002B2CF9AE}" pid="5" name="MSIP_Label_760f1e71-d892-4c8b-bcc3-95f8fd283f9c_SiteId">
    <vt:lpwstr>50db465c-645d-4e9f-9160-897f2f66b0d8</vt:lpwstr>
  </property>
  <property fmtid="{D5CDD505-2E9C-101B-9397-08002B2CF9AE}" pid="6" name="MSIP_Label_760f1e71-d892-4c8b-bcc3-95f8fd283f9c_Owner">
    <vt:lpwstr>cvanleeuwen@fwg.nl</vt:lpwstr>
  </property>
  <property fmtid="{D5CDD505-2E9C-101B-9397-08002B2CF9AE}" pid="7" name="MSIP_Label_760f1e71-d892-4c8b-bcc3-95f8fd283f9c_SetDate">
    <vt:lpwstr>2022-09-20T10:38:45.1044727Z</vt:lpwstr>
  </property>
  <property fmtid="{D5CDD505-2E9C-101B-9397-08002B2CF9AE}" pid="8" name="MSIP_Label_760f1e71-d892-4c8b-bcc3-95f8fd283f9c_Name">
    <vt:lpwstr>Standaard</vt:lpwstr>
  </property>
  <property fmtid="{D5CDD505-2E9C-101B-9397-08002B2CF9AE}" pid="9" name="MSIP_Label_760f1e71-d892-4c8b-bcc3-95f8fd283f9c_Application">
    <vt:lpwstr>Microsoft Azure Information Protection</vt:lpwstr>
  </property>
  <property fmtid="{D5CDD505-2E9C-101B-9397-08002B2CF9AE}" pid="10" name="MSIP_Label_760f1e71-d892-4c8b-bcc3-95f8fd283f9c_ActionId">
    <vt:lpwstr>fe4ac6bd-cfbe-4b23-89da-d902ed449c1f</vt:lpwstr>
  </property>
  <property fmtid="{D5CDD505-2E9C-101B-9397-08002B2CF9AE}" pid="11" name="MSIP_Label_760f1e71-d892-4c8b-bcc3-95f8fd283f9c_Extended_MSFT_Method">
    <vt:lpwstr>Automatic</vt:lpwstr>
  </property>
  <property fmtid="{D5CDD505-2E9C-101B-9397-08002B2CF9AE}" pid="12" name="Sensitivity">
    <vt:lpwstr>Standaard</vt:lpwstr>
  </property>
</Properties>
</file>